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3"/>
    <sheet name="Inventario_Notas" sheetId="2" state="visible" r:id="rId4"/>
    <sheet name="Balance" sheetId="3" state="visible" r:id="rId5"/>
    <sheet name="PyG" sheetId="4" state="visible" r:id="rId6"/>
    <sheet name="Flujos" sheetId="5" state="visible" r:id="rId7"/>
    <sheet name="ECPN" sheetId="6" state="visible" r:id="rId8"/>
    <sheet name="Nota7" sheetId="7" state="visible" r:id="rId9"/>
    <sheet name="Nota9" sheetId="8" state="visible" r:id="rId10"/>
    <sheet name="Nota13" sheetId="9" state="visible" r:id="rId11"/>
    <sheet name="Nota25" sheetId="10" state="visible" r:id="rId12"/>
    <sheet name="Nota28" sheetId="11" state="visible" r:id="rId13"/>
    <sheet name="Auditoria" sheetId="12" state="visible" r:id="rId14"/>
    <sheet name="Informe_Gestion" sheetId="13" state="visible" r:id="rId15"/>
    <sheet name="Aficion_Estadio" sheetId="14" state="visible" r:id="rId16"/>
    <sheet name="Transfermarkt" sheetId="15" state="visible" r:id="rId17"/>
    <sheet name="Cantera" sheetId="16" state="visible" r:id="rId18"/>
    <sheet name="Pendientes" sheetId="17" state="visible" r:id="rId1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<sst xmlns="http://schemas.openxmlformats.org/spreadsheetml/2006/main" count="2055" uniqueCount="1556">
  <si>
    <t xml:space="preserve">Villarreal CF — Resumen pasos 2 y 3 (M€)</t>
  </si>
  <si>
    <t xml:space="preserve">Todas las cifras enlazan a las hojas de detalle. 22/23: solo hay el resultado neto (ECPN p. 11). Fuente común: 3.a.v-CCAA-Villarreal-24-25-firmado.pdf.</t>
  </si>
  <si>
    <t xml:space="preserve">Concepto</t>
  </si>
  <si>
    <t xml:space="preserve">24/25</t>
  </si>
  <si>
    <t xml:space="preserve">23/24</t>
  </si>
  <si>
    <t xml:space="preserve">22/23</t>
  </si>
  <si>
    <t xml:space="preserve">Fuente</t>
  </si>
  <si>
    <t xml:space="preserve">PASO 2 — INGRESOS (desglose LaLiga, nota 13.1)</t>
  </si>
  <si>
    <t xml:space="preserve">Competiciones</t>
  </si>
  <si>
    <t xml:space="preserve">Nota 13.1, p. 38</t>
  </si>
  <si>
    <t xml:space="preserve">Abonados y socios</t>
  </si>
  <si>
    <t xml:space="preserve">TV (retransmisión)</t>
  </si>
  <si>
    <t xml:space="preserve">   de ello LaLiga (RDL 5/2015)</t>
  </si>
  <si>
    <t xml:space="preserve">Nota 13.1</t>
  </si>
  <si>
    <t xml:space="preserve">   de ello UEFA (market pool)</t>
  </si>
  <si>
    <t xml:space="preserve">Comercial / publicidad (patrocinio)</t>
  </si>
  <si>
    <t xml:space="preserve">Tiendas y otra comercialización</t>
  </si>
  <si>
    <t xml:space="preserve">Ingresos totales (criterio LaLiga)</t>
  </si>
  <si>
    <t xml:space="preserve">Importe neto cifra de negocios (PyG)</t>
  </si>
  <si>
    <t xml:space="preserve">PyG, p. 10</t>
  </si>
  <si>
    <t xml:space="preserve">Otros ingresos de explotación (PyG)</t>
  </si>
  <si>
    <t xml:space="preserve">PASO 2 — GASTOS Y RESULTADOS</t>
  </si>
  <si>
    <t xml:space="preserve">Gastos de personal</t>
  </si>
  <si>
    <t xml:space="preserve">   plantilla deportiva</t>
  </si>
  <si>
    <t xml:space="preserve">Nota 13.2, pp. 38–39</t>
  </si>
  <si>
    <t xml:space="preserve">      de ello primer equipo (inscribible)</t>
  </si>
  <si>
    <t xml:space="preserve">Nota 13.2</t>
  </si>
  <si>
    <t xml:space="preserve">   personal no deportivo</t>
  </si>
  <si>
    <t xml:space="preserve">Amortización</t>
  </si>
  <si>
    <t xml:space="preserve">Línea 11 (venta de jugadores y otros)</t>
  </si>
  <si>
    <t xml:space="preserve">PyG + Nota 13.4.4</t>
  </si>
  <si>
    <t xml:space="preserve">   ventas de jugadores (neto)</t>
  </si>
  <si>
    <t xml:space="preserve">Nota 13.4.4, pp. 42–43</t>
  </si>
  <si>
    <t xml:space="preserve">   deterioros / reversiones de jugadores</t>
  </si>
  <si>
    <t xml:space="preserve">Nota 7 y 13.4.4</t>
  </si>
  <si>
    <t xml:space="preserve">   otros (donaciones, regularizaciones…)</t>
  </si>
  <si>
    <t xml:space="preserve">Nota 13.4.4</t>
  </si>
  <si>
    <t xml:space="preserve">Resultado de explotación</t>
  </si>
  <si>
    <t xml:space="preserve">Gastos financieros</t>
  </si>
  <si>
    <t xml:space="preserve">Resultado del ejercicio</t>
  </si>
  <si>
    <t xml:space="preserve">PyG p. 10 · 22/23: ECPN p. 11</t>
  </si>
  <si>
    <t xml:space="preserve">PASO 3 — RATIOS</t>
  </si>
  <si>
    <t xml:space="preserve">Gastos de personal / cifra de negocios (PyG)</t>
  </si>
  <si>
    <t xml:space="preserve">Fórmula</t>
  </si>
  <si>
    <t xml:space="preserve">Gastos de personal / ingresos totales LaLiga</t>
  </si>
  <si>
    <t xml:space="preserve">Resultado de explotación sin línea 11</t>
  </si>
  <si>
    <t xml:space="preserve">EBITDA sin traspasos (expl. − línea 11 + amortización)</t>
  </si>
  <si>
    <t xml:space="preserve">EBITDA con traspasos (expl. + amortización)</t>
  </si>
  <si>
    <t xml:space="preserve">% de ingresos de TV (sobre total LaLiga)</t>
  </si>
  <si>
    <t xml:space="preserve">Convención: páginas = numeración del visor del PDF.</t>
  </si>
  <si>
    <t xml:space="preserve">Signos: gastos en negativo. Personal deportivo/no deportivo en negativo para que sumen la línea de gastos de personal.</t>
  </si>
  <si>
    <t xml:space="preserve">Pendientes del paso 4 en la hoja Nota9; paso 5 (estadio) en Nota7/Nota9; pasos 6–8 sin datos aún.</t>
  </si>
  <si>
    <t xml:space="preserve">CONTROL ECONÓMICO LaLiga Y PRESUPUESTO (nota 25)</t>
  </si>
  <si>
    <t xml:space="preserve">Resultado del fútbol (LaLiga, punto de equilibrio)</t>
  </si>
  <si>
    <t xml:space="preserve">Nota 25.2.1, pp. 46–48</t>
  </si>
  <si>
    <t xml:space="preserve">Créditos con clubes a 30/06/2024 (dentro de deudores)</t>
  </si>
  <si>
    <t xml:space="preserve">Nota 25.4, p. 49</t>
  </si>
  <si>
    <t xml:space="preserve">Presupuesto 25/26: cifra de negocios</t>
  </si>
  <si>
    <t xml:space="preserve">Nota 25.3, p. 48 (col. B = 25/26)</t>
  </si>
  <si>
    <t xml:space="preserve">Presupuesto 25/26: plantilla deportiva (LaLiga)</t>
  </si>
  <si>
    <t xml:space="preserve">Nota 25.3</t>
  </si>
  <si>
    <t xml:space="preserve">Presupuesto 25/26: venta de jugadores</t>
  </si>
  <si>
    <t xml:space="preserve">Presupuesto 25/26: resultado</t>
  </si>
  <si>
    <t xml:space="preserve">Nota 25.3 (equilibrio)</t>
  </si>
  <si>
    <t xml:space="preserve">En las filas de presupuesto, la columna '24/25' contiene el presupuesto de 25/26.</t>
  </si>
  <si>
    <t xml:space="preserve">PASO 7 no disponible: el presupuesto de 24/25 está en las cuentas de 23/24.</t>
  </si>
  <si>
    <t xml:space="preserve">PASOS 6 Y 8</t>
  </si>
  <si>
    <t xml:space="preserve">Ocupación media en Liga (asistencia TM / aforo oficial)</t>
  </si>
  <si>
    <t xml:space="preserve">Aficion_Estadio</t>
  </si>
  <si>
    <t xml:space="preserve">Ingreso por abonado (€, 19.773 abonados oficiales)</t>
  </si>
  <si>
    <t xml:space="preserve">Ingreso por partido de Liga (M€)</t>
  </si>
  <si>
    <t xml:space="preserve">Opinión de auditoría 24/25</t>
  </si>
  <si>
    <t xml:space="preserve">Favorable, sin énfasis</t>
  </si>
  <si>
    <t xml:space="preserve">Auditoria</t>
  </si>
  <si>
    <t xml:space="preserve">POSICIÓN CON CLUBES (nota 28)</t>
  </si>
  <si>
    <t xml:space="preserve">Le deben clubes</t>
  </si>
  <si>
    <t xml:space="preserve">Nota 28</t>
  </si>
  <si>
    <t xml:space="preserve">Debe a clubes (LP)</t>
  </si>
  <si>
    <t xml:space="preserve">Debe a clubes (CP)</t>
  </si>
  <si>
    <t xml:space="preserve">Inventario del PDF completo (versión OCR, 104 páginas)</t>
  </si>
  <si>
    <t xml:space="preserve">Fuente: Villarreal_-_Cuentas_anuales_2024-25_con_comparativo_2023-24_OCR.pdf. Verde = revisada antes · Amarillo = revisada ahora y aporta algo · Gris = revisada ahora, sin contenido relevante.</t>
  </si>
  <si>
    <t xml:space="preserve">Pp.</t>
  </si>
  <si>
    <t xml:space="preserve">Sección</t>
  </si>
  <si>
    <t xml:space="preserve">Estado</t>
  </si>
  <si>
    <t xml:space="preserve">Qué aporta</t>
  </si>
  <si>
    <t xml:space="preserve">1–2</t>
  </si>
  <si>
    <t xml:space="preserve">Portada e índice</t>
  </si>
  <si>
    <t xml:space="preserve">gris</t>
  </si>
  <si>
    <t xml:space="preserve">3–8</t>
  </si>
  <si>
    <t xml:space="preserve">Informe de auditoría</t>
  </si>
  <si>
    <t xml:space="preserve">verde</t>
  </si>
  <si>
    <t xml:space="preserve">Opinión favorable, sin énfasis (hoja Auditoria).</t>
  </si>
  <si>
    <t xml:space="preserve">9</t>
  </si>
  <si>
    <t xml:space="preserve">Balance</t>
  </si>
  <si>
    <t xml:space="preserve">En esta versión OCR la página sale girada/ilegible; usamos la captura.</t>
  </si>
  <si>
    <t xml:space="preserve">10</t>
  </si>
  <si>
    <t xml:space="preserve">Cuenta de pérdidas y ganancias</t>
  </si>
  <si>
    <t xml:space="preserve">11</t>
  </si>
  <si>
    <t xml:space="preserve">Estado de cambios en el patrimonio neto</t>
  </si>
  <si>
    <t xml:space="preserve">En esta versión sale ilegible; usamos la captura.</t>
  </si>
  <si>
    <t xml:space="preserve">12</t>
  </si>
  <si>
    <t xml:space="preserve">Estado de flujos de efectivo</t>
  </si>
  <si>
    <t xml:space="preserve">En esta versión es la p. 12 (antes citada como p. 11).</t>
  </si>
  <si>
    <t xml:space="preserve">13</t>
  </si>
  <si>
    <t xml:space="preserve">Nota 1 — Actividad</t>
  </si>
  <si>
    <t xml:space="preserve">amarillo</t>
  </si>
  <si>
    <t xml:space="preserve">El club pertenece al grupo de Nomar Patrimonial S.L.U. (Almazora) y NO consolida con él porque sus ejercicios no coinciden.</t>
  </si>
  <si>
    <t xml:space="preserve">13–14</t>
  </si>
  <si>
    <t xml:space="preserve">Nota 2 — Bases de presentación</t>
  </si>
  <si>
    <t xml:space="preserve">Sin cambios de criterio contable ni corrección de errores en 24/25.</t>
  </si>
  <si>
    <t xml:space="preserve">14–15</t>
  </si>
  <si>
    <t xml:space="preserve">Nota 3 — Aplicación de resultados</t>
  </si>
  <si>
    <t xml:space="preserve">24/25: 1,37 M€ a reserva legal y 12,34 M€ a voluntaria. 23/24: pérdida a resultados negativos. Sin dividendos.</t>
  </si>
  <si>
    <t xml:space="preserve">15–23</t>
  </si>
  <si>
    <t xml:space="preserve">Nota 4 — Normas de valoración</t>
  </si>
  <si>
    <t xml:space="preserve">Jugadores: amortización lineal según el contrato. Estadio/ciudad deportiva: 10 años o plazo de concesión. Opciones de compra: inmovilizado en curso. Coste de plantilla LaLiga incluye amortización, gastos de adquisición, cesiones, derechos de imagen y cuotas de inscripción en LaLiga.</t>
  </si>
  <si>
    <t xml:space="preserve">23–25</t>
  </si>
  <si>
    <t xml:space="preserve">Nota 5 — Inmovilizado material</t>
  </si>
  <si>
    <t xml:space="preserve">Amortización 24/25 = 2.267.311,79 € (confirma nota 28). Bruto 51,2 M€; terrenos 5,90 M€. Subvenciones CSD y Liga F para fútbol femenino.</t>
  </si>
  <si>
    <t xml:space="preserve">25–26</t>
  </si>
  <si>
    <t xml:space="preserve">Nota 6 — Inversiones inmobiliarias</t>
  </si>
  <si>
    <t xml:space="preserve">Terrenos 6,88 M€ brutos con deterioro de 4,03 M€ (neto 2,85). Sin ingresos ni uso en la actividad.</t>
  </si>
  <si>
    <t xml:space="preserve">27–30</t>
  </si>
  <si>
    <t xml:space="preserve">Nota 7 — Inmovilizado intangible</t>
  </si>
  <si>
    <t xml:space="preserve">Jugadores, ventas, estadio cedido.</t>
  </si>
  <si>
    <t xml:space="preserve">30–31</t>
  </si>
  <si>
    <t xml:space="preserve">Nota 8 — Arrendamientos</t>
  </si>
  <si>
    <t xml:space="preserve">Gastos 0,36 M€ e ingresos 0,12 M€ por arrendamientos operativos. Sin arrendamientos financieros.</t>
  </si>
  <si>
    <t xml:space="preserve">31–34</t>
  </si>
  <si>
    <t xml:space="preserve">Nota 9 — Instrumentos financieros</t>
  </si>
  <si>
    <t xml:space="preserve">Deuda, préstamo LaLiga/CVC, capital.</t>
  </si>
  <si>
    <t xml:space="preserve">34</t>
  </si>
  <si>
    <t xml:space="preserve">Nota 10 — Existencias</t>
  </si>
  <si>
    <t xml:space="preserve">Solo tienda: 0,57 M€.</t>
  </si>
  <si>
    <t xml:space="preserve">34–35</t>
  </si>
  <si>
    <t xml:space="preserve">Nota 11 — Moneda extranjera</t>
  </si>
  <si>
    <t xml:space="preserve">Diferencias de cambio: gastos 8.178,85 e ingresos 2.364,19 (confirma lo deducido en la nota 25).</t>
  </si>
  <si>
    <t xml:space="preserve">35–37</t>
  </si>
  <si>
    <t xml:space="preserve">Nota 12 — Situación fiscal</t>
  </si>
  <si>
    <t xml:space="preserve">Ver bloque abajo: base imponible 0, impuesto 100% diferido, 93,2 M€ de pérdidas fiscales sin usar.</t>
  </si>
  <si>
    <t xml:space="preserve">38–45</t>
  </si>
  <si>
    <t xml:space="preserve">Nota 13 — Ingresos y gastos</t>
  </si>
  <si>
    <t xml:space="preserve">45</t>
  </si>
  <si>
    <t xml:space="preserve">Notas 14–19</t>
  </si>
  <si>
    <t xml:space="preserve">Sin provisiones adicionales, medio ambiente, pagos en acciones ni combinaciones de negocio. Nota 18 = subvenciones (151 miles de Sepfsau).</t>
  </si>
  <si>
    <t xml:space="preserve">46</t>
  </si>
  <si>
    <t xml:space="preserve">Notas 20–21</t>
  </si>
  <si>
    <t xml:space="preserve">Sin negocios conjuntos ni activos mantenidos para la venta.</t>
  </si>
  <si>
    <t xml:space="preserve">Nota 22 — Hechos posteriores</t>
  </si>
  <si>
    <t xml:space="preserve">"No se ha producido ningún hecho que tenga un efecto significativo". NO confirma ni descarta que ventas de julio (Baena, Barry) se registraran en 24/25.</t>
  </si>
  <si>
    <t xml:space="preserve">Nota 23 — Partes vinculadas</t>
  </si>
  <si>
    <t xml:space="preserve">—</t>
  </si>
  <si>
    <t xml:space="preserve">Nota 24</t>
  </si>
  <si>
    <t xml:space="preserve">NO EXISTE: la numeración salta de la 23 a la 25.</t>
  </si>
  <si>
    <t xml:space="preserve">46–53</t>
  </si>
  <si>
    <t xml:space="preserve">Nota 25 — Otra información</t>
  </si>
  <si>
    <t xml:space="preserve">53</t>
  </si>
  <si>
    <t xml:space="preserve">Nota 26 — Derechos de emisión</t>
  </si>
  <si>
    <t xml:space="preserve">No aplica.</t>
  </si>
  <si>
    <t xml:space="preserve">Nota 27 — Plazo de pago a proveedores</t>
  </si>
  <si>
    <t xml:space="preserve">Periodo medio de pago 46 días (43 en 23/24). Límite legal 30 días, ampliable a 60 si se pacta: dentro de lo permitido.</t>
  </si>
  <si>
    <t xml:space="preserve">53–57</t>
  </si>
  <si>
    <t xml:space="preserve">Nota 28 — Formato LaLiga</t>
  </si>
  <si>
    <t xml:space="preserve">Créditos con clubes.</t>
  </si>
  <si>
    <t xml:space="preserve">58–60</t>
  </si>
  <si>
    <t xml:space="preserve">Informe de gestión</t>
  </si>
  <si>
    <t xml:space="preserve">61–63</t>
  </si>
  <si>
    <t xml:space="preserve">Verificación del EINF</t>
  </si>
  <si>
    <t xml:space="preserve">65–104</t>
  </si>
  <si>
    <t xml:space="preserve">EINF</t>
  </si>
  <si>
    <t xml:space="preserve">Revisado (búsqueda): abonados, aforo. La ciudad deportiva se llama "Ciudad Deportiva Pamesa": posible concepto adicional del dinero de Pamesa (hipótesis).</t>
  </si>
  <si>
    <t xml:space="preserve">NOTA 12 — SITUACIÓN FISCAL (pp. 35–37), verificado</t>
  </si>
  <si>
    <t xml:space="preserve">Resultado antes de impuestos</t>
  </si>
  <si>
    <t xml:space="preserve">(+) Diferencias permanentes (sanciones, donativos no deducibles)</t>
  </si>
  <si>
    <t xml:space="preserve">(+) Temporarias del ejercicio: aumentos (deterioro de participaciones)</t>
  </si>
  <si>
    <t xml:space="preserve">(−) Temporarias del ejercicio: disminuciones (ventas de jugadores a plazos: tributan al cobrar)</t>
  </si>
  <si>
    <t xml:space="preserve">(+) Temporarias de años anteriores: aumentos (cobros de ventas a plazos de años previos)</t>
  </si>
  <si>
    <t xml:space="preserve">(−) Temporarias de años anteriores: disminuciones (reversión del ajuste del 30% de amortizaciones)</t>
  </si>
  <si>
    <t xml:space="preserve">Base imponible previa (documento: 399.075,18)</t>
  </si>
  <si>
    <t xml:space="preserve">(−) Reserva de capitalización</t>
  </si>
  <si>
    <t xml:space="preserve">(−) Compensación de pérdidas fiscales anteriores</t>
  </si>
  <si>
    <t xml:space="preserve">Base imponible final (documento: 0)</t>
  </si>
  <si>
    <t xml:space="preserve">Chequeo: dif. base previa vs documento</t>
  </si>
  <si>
    <t xml:space="preserve">Impuesto diferido = 25% × (disminuciones − aumentos por ventas a plazos) (doc. PyG: 5.275.304,12)</t>
  </si>
  <si>
    <t xml:space="preserve">Chequeo: dif. vs impuesto de la PyG</t>
  </si>
  <si>
    <t xml:space="preserve">• El club NO paga impuesto de sociedades en 24/25: base imponible 0. Los 5,28 M€ de gasto son impuesto DIFERIDO: 25% de los 21,1 M€ de beneficio por ventas de jugadores que aún no ha cobrado. Se pagará al cobrar. Por eso el pasivo por impuesto diferido sube de 0,62 a 5,89 M€.</t>
  </si>
  <si>
    <t xml:space="preserve">• Tiene 93,2 M€ de pérdidas fiscales de años anteriores (2007–2023) sin usar y NO las registra como activo: es un "activo oculto" que reducirá impuestos futuros.</t>
  </si>
  <si>
    <t xml:space="preserve">• Abiertos a inspección: julio 2020 – junio 2024 en todos los impuestos. La dirección no espera pasivos significativos.</t>
  </si>
  <si>
    <t xml:space="preserve">Villarreal CF, S.A.D. — Balance a 30/06/2025</t>
  </si>
  <si>
    <t xml:space="preserve">Fuente: 3.a.v-CCAA-Villarreal-24-25-firmado.pdf, Balance (p. 9 según el usuario). Importes en euros, tal como aparecen en el documento.</t>
  </si>
  <si>
    <t xml:space="preserve">Divisor euros → millones (M€)</t>
  </si>
  <si>
    <t xml:space="preserve">← supuesto: este balance viene en euros, no en miles</t>
  </si>
  <si>
    <t xml:space="preserve">Leyenda: azul = dato copiado del documento · negro = fórmula · gris cursiva = 'de los cuales' (no suma en totales)</t>
  </si>
  <si>
    <t xml:space="preserve">Nota</t>
  </si>
  <si>
    <t xml:space="preserve">24/25 (€)</t>
  </si>
  <si>
    <t xml:space="preserve">23/24 (€)</t>
  </si>
  <si>
    <t xml:space="preserve">24/25 (M€)</t>
  </si>
  <si>
    <t xml:space="preserve">23/24 (M€)</t>
  </si>
  <si>
    <t xml:space="preserve">Var. (M€)</t>
  </si>
  <si>
    <t xml:space="preserve">Var. (%)</t>
  </si>
  <si>
    <t xml:space="preserve">ACTIVO</t>
  </si>
  <si>
    <t xml:space="preserve">A) Activo no corriente</t>
  </si>
  <si>
    <t xml:space="preserve">Concesiones</t>
  </si>
  <si>
    <t xml:space="preserve">7</t>
  </si>
  <si>
    <t xml:space="preserve">Patentes, licencias, marcas y similares</t>
  </si>
  <si>
    <t xml:space="preserve">Otro inmovilizado intangible</t>
  </si>
  <si>
    <t xml:space="preserve">I. Inmovilizado intangible</t>
  </si>
  <si>
    <t xml:space="preserve">II. Inmovilizado material</t>
  </si>
  <si>
    <t xml:space="preserve">5</t>
  </si>
  <si>
    <t xml:space="preserve">III. Inversiones inmobiliarias</t>
  </si>
  <si>
    <t xml:space="preserve">6</t>
  </si>
  <si>
    <t xml:space="preserve">IV. Inversiones en empresas del grupo y asociadas a L.P.</t>
  </si>
  <si>
    <t xml:space="preserve">9.a.2</t>
  </si>
  <si>
    <t xml:space="preserve">V. Inversiones financieras a L.P.</t>
  </si>
  <si>
    <t xml:space="preserve">9.a</t>
  </si>
  <si>
    <t xml:space="preserve">Total activo no corriente</t>
  </si>
  <si>
    <t xml:space="preserve">B) Activo corriente</t>
  </si>
  <si>
    <t xml:space="preserve">II. Existencias</t>
  </si>
  <si>
    <t xml:space="preserve">III. Deudores comerciales y otras cuentas a cobrar</t>
  </si>
  <si>
    <t xml:space="preserve">9.a.1</t>
  </si>
  <si>
    <t xml:space="preserve">de los cuales: Deudores varios</t>
  </si>
  <si>
    <t xml:space="preserve">VI. Periodificaciones</t>
  </si>
  <si>
    <t xml:space="preserve">VII. Efectivo y otros activos líquidos equivalentes</t>
  </si>
  <si>
    <t xml:space="preserve">Total activo corriente</t>
  </si>
  <si>
    <t xml:space="preserve">TOTAL ACTIVO</t>
  </si>
  <si>
    <t xml:space="preserve">PATRIMONIO NETO Y PASIVO</t>
  </si>
  <si>
    <t xml:space="preserve">A) Patrimonio neto</t>
  </si>
  <si>
    <t xml:space="preserve">I. Capital escriturado</t>
  </si>
  <si>
    <t xml:space="preserve">9.d</t>
  </si>
  <si>
    <t xml:space="preserve">III. Reservas</t>
  </si>
  <si>
    <t xml:space="preserve">V. Resultados de ejercicios anteriores</t>
  </si>
  <si>
    <t xml:space="preserve">VI. Otras aportaciones de socios</t>
  </si>
  <si>
    <t xml:space="preserve">VII. Resultado del ejercicio</t>
  </si>
  <si>
    <t xml:space="preserve">3</t>
  </si>
  <si>
    <t xml:space="preserve">Fondos propios</t>
  </si>
  <si>
    <t xml:space="preserve">Subvenciones, donaciones y legados recibidos</t>
  </si>
  <si>
    <t xml:space="preserve">18</t>
  </si>
  <si>
    <t xml:space="preserve">Total patrimonio neto</t>
  </si>
  <si>
    <t xml:space="preserve">B) Pasivo no corriente</t>
  </si>
  <si>
    <t xml:space="preserve">I. Provisiones a largo plazo</t>
  </si>
  <si>
    <t xml:space="preserve">9.b</t>
  </si>
  <si>
    <t xml:space="preserve">II. Deudas a largo plazo (otras: fianzas, depósitos, efectos a pagar…)</t>
  </si>
  <si>
    <t xml:space="preserve">IV. Pasivos por impuesto diferido</t>
  </si>
  <si>
    <t xml:space="preserve">Total pasivo no corriente</t>
  </si>
  <si>
    <t xml:space="preserve">C) Pasivo corriente</t>
  </si>
  <si>
    <t xml:space="preserve">III. Deudas a corto plazo (otros pasivos financieros)</t>
  </si>
  <si>
    <t xml:space="preserve">Acreedores varios</t>
  </si>
  <si>
    <t xml:space="preserve">Personal (remuneraciones pendientes de pago)</t>
  </si>
  <si>
    <t xml:space="preserve">Otras deudas con las Administraciones Públicas</t>
  </si>
  <si>
    <t xml:space="preserve">12.3</t>
  </si>
  <si>
    <t xml:space="preserve">V. Acreedores comerciales y otras cuentas a pagar</t>
  </si>
  <si>
    <t xml:space="preserve">Total pasivo corriente</t>
  </si>
  <si>
    <t xml:space="preserve">TOTAL PATRIMONIO NETO Y PASIVO</t>
  </si>
  <si>
    <t xml:space="preserve">COMPROBACIONES (deben dar 0 / OK)</t>
  </si>
  <si>
    <t xml:space="preserve">Total activo reportado en el documento (€)</t>
  </si>
  <si>
    <t xml:space="preserve">Diferencia: activo calculado − activo reportado (€)</t>
  </si>
  <si>
    <t xml:space="preserve">Diferencia: activo − (patrimonio neto + pasivo) (€)</t>
  </si>
  <si>
    <t xml:space="preserve">LECTURAS RÁPIDAS (fórmulas)</t>
  </si>
  <si>
    <t xml:space="preserve">Patrimonio neto / Total activo</t>
  </si>
  <si>
    <t xml:space="preserve">Ratio de liquidez (activo corriente / pasivo corriente)</t>
  </si>
  <si>
    <t xml:space="preserve">Fondo de maniobra (activo corriente − pasivo corriente) (M€)</t>
  </si>
  <si>
    <t xml:space="preserve">Deudas financieras (L.P. + C.P.) (M€)</t>
  </si>
  <si>
    <t xml:space="preserve">Deudas financieras − efectivo (M€) *</t>
  </si>
  <si>
    <t xml:space="preserve">* Aproximación: las 'otras deudas' de L.P. (fianzas, depósitos, efectos a pagar) no están desglosadas aquí; la nota 9.b dirá qué incluyen. No es la deuda neta oficial.</t>
  </si>
  <si>
    <t xml:space="preserve">Villarreal CF, S.A.D. — Cuenta de pérdidas y ganancias a 30/06/2025</t>
  </si>
  <si>
    <t xml:space="preserve">Fuente: 3.a.v-CCAA-Villarreal-24-25-firmado.pdf, Cuenta de PyG (p. 10). Importes en euros. Signo: ingresos +, gastos −.</t>
  </si>
  <si>
    <t xml:space="preserve">Divisor euros → M€ (viene de la hoja Balance)</t>
  </si>
  <si>
    <t xml:space="preserve">Leyenda: azul = dato del documento · negro = fórmula · verde = enlace a otra hoja</t>
  </si>
  <si>
    <t xml:space="preserve">A) OPERACIONES CONTINUADAS</t>
  </si>
  <si>
    <t xml:space="preserve">a) Ventas</t>
  </si>
  <si>
    <t xml:space="preserve">13.1</t>
  </si>
  <si>
    <t xml:space="preserve">1. Importe neto de la cifra de negocios</t>
  </si>
  <si>
    <t xml:space="preserve">a) Consumo de mercaderías</t>
  </si>
  <si>
    <t xml:space="preserve">b) Consumo de materias primas y otras materias consumibles</t>
  </si>
  <si>
    <t xml:space="preserve">4. Aprovisionamientos</t>
  </si>
  <si>
    <t xml:space="preserve">a) Ingresos accesorios y otros de gestión corriente</t>
  </si>
  <si>
    <t xml:space="preserve">13.4.9</t>
  </si>
  <si>
    <t xml:space="preserve">b) Subvenciones de explotación incorporadas al resultado</t>
  </si>
  <si>
    <t xml:space="preserve">5. Otros ingresos de explotación</t>
  </si>
  <si>
    <t xml:space="preserve">a) Sueldos, salarios y asimilados</t>
  </si>
  <si>
    <t xml:space="preserve">b) Cargas sociales</t>
  </si>
  <si>
    <t xml:space="preserve">6. Gastos de personal</t>
  </si>
  <si>
    <t xml:space="preserve">13.2</t>
  </si>
  <si>
    <t xml:space="preserve">a) Servicios exteriores</t>
  </si>
  <si>
    <t xml:space="preserve">13.4.8</t>
  </si>
  <si>
    <t xml:space="preserve">b) Tributos</t>
  </si>
  <si>
    <t xml:space="preserve">12.2</t>
  </si>
  <si>
    <t xml:space="preserve">c) Pérdidas, deterioro y variación de provisiones por op. comerciales</t>
  </si>
  <si>
    <t xml:space="preserve">13.3</t>
  </si>
  <si>
    <t xml:space="preserve">d) Otros gastos de gestión corriente</t>
  </si>
  <si>
    <t xml:space="preserve">7. Otros gastos de explotación</t>
  </si>
  <si>
    <t xml:space="preserve">8. Amortización del inmovilizado</t>
  </si>
  <si>
    <t xml:space="preserve">5-7</t>
  </si>
  <si>
    <t xml:space="preserve">a) Deterioros y pérdidas</t>
  </si>
  <si>
    <t xml:space="preserve">b) Resultados por enajenaciones y otras</t>
  </si>
  <si>
    <t xml:space="preserve">c) Otros resultados</t>
  </si>
  <si>
    <t xml:space="preserve">11. Deterioro y resultado por enajenaciones del inmovilizado</t>
  </si>
  <si>
    <t xml:space="preserve">A.1) RESULTADO DE EXPLOTACIÓN</t>
  </si>
  <si>
    <t xml:space="preserve">12. Ingresos financieros (de terceros)</t>
  </si>
  <si>
    <t xml:space="preserve">13. Gastos financieros (por deudas con terceros)</t>
  </si>
  <si>
    <t xml:space="preserve">15. Diferencias de cambio</t>
  </si>
  <si>
    <t xml:space="preserve">16. Deterioro y resultado por enajenaciones de instrumentos financieros</t>
  </si>
  <si>
    <t xml:space="preserve">A.2) RESULTADO FINANCIERO</t>
  </si>
  <si>
    <t xml:space="preserve">A.3) RESULTADO ANTES DE IMPUESTOS</t>
  </si>
  <si>
    <t xml:space="preserve">17. Impuestos sobre beneficios</t>
  </si>
  <si>
    <t xml:space="preserve">A.5) RESULTADO DEL EJERCICIO</t>
  </si>
  <si>
    <t xml:space="preserve">Líneas 2, 3, 9, 10, 14 y 18 están vacías (guion) en el documento; no se incluyen.</t>
  </si>
  <si>
    <t xml:space="preserve">Resultado de explotación reportado (€)</t>
  </si>
  <si>
    <t xml:space="preserve">Resultado del ejercicio reportado (€)</t>
  </si>
  <si>
    <t xml:space="preserve">Dif. resultado de explotación (€)</t>
  </si>
  <si>
    <t xml:space="preserve">Dif. resultado del ejercicio (€)</t>
  </si>
  <si>
    <t xml:space="preserve">Resultado del ejercicio según el Balance (€)</t>
  </si>
  <si>
    <t xml:space="preserve">Dif. PyG − Balance (€)</t>
  </si>
  <si>
    <t xml:space="preserve">RATIOS PRELIMINARES (paso 3) — definiciones en columna B</t>
  </si>
  <si>
    <t xml:space="preserve">Gastos de personal / Importe neto cifra de negocios</t>
  </si>
  <si>
    <t xml:space="preserve">Base = línea 1. Si se suman 'otros ingresos' cambia; lo decidimos al ver la nota 13.1.</t>
  </si>
  <si>
    <t xml:space="preserve">Resultado de explotación sin línea 11 (M€)</t>
  </si>
  <si>
    <t xml:space="preserve">Resultado de explotación − línea 11 completa (ventas, deterioros y otros).</t>
  </si>
  <si>
    <t xml:space="preserve">EBITDA sin traspasos (M€)</t>
  </si>
  <si>
    <t xml:space="preserve">Res. explotación − línea 11 + amortización. Una de varias definiciones posibles.</t>
  </si>
  <si>
    <t xml:space="preserve">EBITDA con traspasos (M€)</t>
  </si>
  <si>
    <t xml:space="preserve">Res. explotación + amortización (incluye la línea 11).</t>
  </si>
  <si>
    <t xml:space="preserve">Línea 11 sobre resultado de explotación</t>
  </si>
  <si>
    <t xml:space="preserve">n/a</t>
  </si>
  <si>
    <t xml:space="preserve">En 23/24 el resultado de explotación es negativo: el % no tiene sentido.</t>
  </si>
  <si>
    <t xml:space="preserve">% de ingresos que viene de TV</t>
  </si>
  <si>
    <t xml:space="preserve">TV / cifra de negocios LFP (nota 13.1).</t>
  </si>
  <si>
    <t xml:space="preserve">Estado de flujos de efectivo a 30/06/2025</t>
  </si>
  <si>
    <t xml:space="preserve">Fuente: 3.a.v-CCAA-Villarreal-24-25-firmado.pdf, Estado de flujos de efectivo (p. 11 del PDF original / p. 12 de la versión OCR). Euros. + entra caja, − sale caja.</t>
  </si>
  <si>
    <t xml:space="preserve">Divisor euros → M€</t>
  </si>
  <si>
    <t xml:space="preserve">A) FLUJOS DE EFECTIVO DE LAS ACTIVIDADES DE EXPLOTACIÓN</t>
  </si>
  <si>
    <t xml:space="preserve">1. Resultado antes de impuestos</t>
  </si>
  <si>
    <t xml:space="preserve">a) Amortización del inmovilizado (+)</t>
  </si>
  <si>
    <t xml:space="preserve">b) Corrección valorativa por deterioro (+/−)</t>
  </si>
  <si>
    <t xml:space="preserve">d) Resultados por bajas y enajenaciones del inmovilizado (+/−)</t>
  </si>
  <si>
    <t xml:space="preserve">e) Imputación de subvenciones (−)</t>
  </si>
  <si>
    <t xml:space="preserve">f) Resultados por bajas/enajenaciones de instrumentos financieros (+/−)</t>
  </si>
  <si>
    <t xml:space="preserve">g) Gastos financieros (+)</t>
  </si>
  <si>
    <t xml:space="preserve">h) Diferencias de cambio (+/−)</t>
  </si>
  <si>
    <t xml:space="preserve">2. Ajustes del resultado</t>
  </si>
  <si>
    <t xml:space="preserve">a) Existencias (+/−)</t>
  </si>
  <si>
    <t xml:space="preserve">b) Deudores comerciales y otros (+/−)</t>
  </si>
  <si>
    <t xml:space="preserve">c) Otros activos corrientes (+/−)</t>
  </si>
  <si>
    <t xml:space="preserve">d) Acreedores y otras cuentas a pagar (+/−)</t>
  </si>
  <si>
    <t xml:space="preserve">e) Otros pasivos corrientes (+/−)</t>
  </si>
  <si>
    <t xml:space="preserve">3. Cambios en el capital corriente</t>
  </si>
  <si>
    <t xml:space="preserve">a) Pagos de intereses (−)</t>
  </si>
  <si>
    <t xml:space="preserve">b) Cobros de intereses (+)</t>
  </si>
  <si>
    <t xml:space="preserve">d) Pagos (cobros) por impuesto sobre beneficios</t>
  </si>
  <si>
    <t xml:space="preserve">4. Otros flujos de explotación</t>
  </si>
  <si>
    <t xml:space="preserve">5. FLUJO DE EXPLOTACIÓN (1+2+3+4)</t>
  </si>
  <si>
    <t xml:space="preserve">B) FLUJOS DE EFECTIVO DE LAS ACTIVIDADES DE INVERSIÓN</t>
  </si>
  <si>
    <t xml:space="preserve">a) Pagos: inmovilizado intangible deportivo (fichajes)</t>
  </si>
  <si>
    <t xml:space="preserve">b) Pagos: inmovilizado intangible no deportivo</t>
  </si>
  <si>
    <t xml:space="preserve">c) Pagos: inmovilizado material</t>
  </si>
  <si>
    <t xml:space="preserve">6. Pagos por inversiones</t>
  </si>
  <si>
    <t xml:space="preserve">a) Cobros: inmovilizado intangible deportivo (ventas de jugadores)</t>
  </si>
  <si>
    <t xml:space="preserve">b) Cobros: inmovilizado intangible no deportivo</t>
  </si>
  <si>
    <t xml:space="preserve">e) Cobros: otros activos financieros</t>
  </si>
  <si>
    <t xml:space="preserve">7. Cobros por desinversiones</t>
  </si>
  <si>
    <t xml:space="preserve">8. FLUJO DE INVERSIÓN (7+6)</t>
  </si>
  <si>
    <t xml:space="preserve">C) FLUJOS DE EFECTIVO DE LAS ACTIVIDADES DE FINANCIACIÓN</t>
  </si>
  <si>
    <t xml:space="preserve">9c. Subvenciones, donaciones y legados recibidos</t>
  </si>
  <si>
    <t xml:space="preserve">10a1. Deudas con empresas del grupo</t>
  </si>
  <si>
    <t xml:space="preserve">10a3. Otras deudas</t>
  </si>
  <si>
    <t xml:space="preserve">12. FLUJO DE FINANCIACIÓN</t>
  </si>
  <si>
    <t xml:space="preserve">E) AUMENTO / DISMINUCIÓN NETA DEL EFECTIVO (A+B+C)</t>
  </si>
  <si>
    <t xml:space="preserve">Efectivo al comienzo del ejercicio</t>
  </si>
  <si>
    <t xml:space="preserve">Efectivo al final del ejercicio</t>
  </si>
  <si>
    <t xml:space="preserve">Dif. flujo de explotación reportado (€)</t>
  </si>
  <si>
    <t xml:space="preserve">Dif. flujo de inversión reportado (€)</t>
  </si>
  <si>
    <t xml:space="preserve">Dif. flujo de financiación reportado (€)</t>
  </si>
  <si>
    <t xml:space="preserve">Dif. variación neta reportada (€)</t>
  </si>
  <si>
    <t xml:space="preserve">Dif. efectivo final vs Balance (€)</t>
  </si>
  <si>
    <t xml:space="preserve">Dif. resultado antes de impuestos vs PyG (€)</t>
  </si>
  <si>
    <t xml:space="preserve">ANÁLISIS (M€) — columna B = 24/25, columna C = 23/24</t>
  </si>
  <si>
    <t xml:space="preserve">Ventas de jugadores firmadas (nota 7.2.2, precio total)</t>
  </si>
  <si>
    <t xml:space="preserve">Lo que el club pone como 'cobros' por ventas (flujo 7a)</t>
  </si>
  <si>
    <t xml:space="preserve">OJO: no cuadra con la subida de lo que deben los clubes (+55 M€). Ver reconstrucción abajo.</t>
  </si>
  <si>
    <t xml:space="preserve">Diferencia: vendido − cobrado</t>
  </si>
  <si>
    <t xml:space="preserve">La subida de deudores ya resta en explotación (−53,5): el club reparte la compraventa de jugadores entre los tres bloques.</t>
  </si>
  <si>
    <t xml:space="preserve">Fichajes firmados (altas nota 7)</t>
  </si>
  <si>
    <t xml:space="preserve">Lo que el club pone como 'pagos' por fichajes (flujo 6a)</t>
  </si>
  <si>
    <t xml:space="preserve">Incluye pagos de fichajes de años anteriores.</t>
  </si>
  <si>
    <t xml:space="preserve">Diferencia: fichado − pagado</t>
  </si>
  <si>
    <t xml:space="preserve">Confirmado nota 28: deudas con clubes LP +12,2 y CP +8,0 = +20,2 M€. Parte va en financiación (+14,7) y parte en explotación.</t>
  </si>
  <si>
    <t xml:space="preserve">Flujo libre (explotación + inversión)</t>
  </si>
  <si>
    <t xml:space="preserve">Lo que el negocio genera o consume antes de financiarse.</t>
  </si>
  <si>
    <t xml:space="preserve">Resultado antes de impuestos (PyG) para comparar</t>
  </si>
  <si>
    <t xml:space="preserve">Beneficio ≠ caja.</t>
  </si>
  <si>
    <t xml:space="preserve">• Rareza 1: en 23/24 aparece −19,0 M€ como 'emisión' de deudas con empresas del grupo. Por el signo, es una DEVOLUCIÓN de deuda al grupo. Confirmar en la nota 9 quién es el grupo (¿accionista?).</t>
  </si>
  <si>
    <t xml:space="preserve">• Rareza 2: en 23/24 las subvenciones 'recibidas' en financiación son −136.164,11, pero el ECPN las muestra como +136.164,11. Posible error de signo en el documento.</t>
  </si>
  <si>
    <t xml:space="preserve">• CORREGIDO con la nota 9: los +11,7 M€ de 'otras deudas' en 24/25 NO son dinero nuevo de LaLiga. Son +14,7 M€ de acreedores comerciales a LP y −2,9 M€ de devolución del préstamo LaLiga.</t>
  </si>
  <si>
    <t xml:space="preserve">RECONSTRUCCIÓN DE LA CAJA 24/25 POR ORIGEN (M€) — elaboración propia con balance + notas 7, 9 y 28</t>
  </si>
  <si>
    <t xml:space="preserve">Ventas firmadas (nota 7.2.2)</t>
  </si>
  <si>
    <t xml:space="preserve">− Subida de lo que deben los clubes (nota 28, cta. 2330)</t>
  </si>
  <si>
    <t xml:space="preserve">127,5 − 72,4</t>
  </si>
  <si>
    <t xml:space="preserve">→ Caja aprox. cobrada por ventas</t>
  </si>
  <si>
    <t xml:space="preserve">+ Subida de lo que se debe a clubes (nota 28, ctas. 2720 + 2940)</t>
  </si>
  <si>
    <t xml:space="preserve">LP 6,1→18,3 · CP 21,5→29,4</t>
  </si>
  <si>
    <t xml:space="preserve">→ Caja aprox. pagada por fichajes</t>
  </si>
  <si>
    <t xml:space="preserve">1) CAJA NETA DE LA COMPRAVENTA DE JUGADORES</t>
  </si>
  <si>
    <t xml:space="preserve">2) Préstamo LaLiga (variación, nota 9)</t>
  </si>
  <si>
    <t xml:space="preserve">Devolución</t>
  </si>
  <si>
    <t xml:space="preserve">3) DÍA A DÍA Y RESTO (por diferencia)</t>
  </si>
  <si>
    <t xml:space="preserve">Residuo: total − 1 − 2</t>
  </si>
  <si>
    <t xml:space="preserve">TOTAL = variación de caja (balance)</t>
  </si>
  <si>
    <t xml:space="preserve">Contraste del 3): resultado antes de imp. − traspasos netos + amortización</t>
  </si>
  <si>
    <t xml:space="preserve">Debe parecerse al 3). Diferencia = capital circulante no ligado a clubes, intereses, etc.</t>
  </si>
  <si>
    <t xml:space="preserve">LECTURA:</t>
  </si>
  <si>
    <t xml:space="preserve">• La caja bajó 30 M€ con un beneficio de +19 M€. Beneficio ≠ caja.</t>
  </si>
  <si>
    <t xml:space="preserve">• Los bloques oficiales (explotación −87 / inversión +45 / financiación +12) no se pueden leer por separado: la compraventa de jugadores está repartida entre los tres.</t>
  </si>
  <si>
    <t xml:space="preserve">• Reconstruido: el día a día quemó ≈ 45 M€; la compraventa de jugadores dejó solo ≈ +18 M€ en caja (de 114 vendidos); y se devolvieron 2,9 M€ a LaLiga.</t>
  </si>
  <si>
    <t xml:space="preserve">• Aproximación: supone que toda la variación de las cuentas con clubes viene de traspasos y cesiones del año. Para 23/24 no se puede hacer: faltan los saldos de 30/06/2023.</t>
  </si>
  <si>
    <t xml:space="preserve">Fuente: 3.a.v-CCAA-Villarreal-24-25-firmado.pdf, ECPN a 30/06/2025 y a 30/06/2024 (p. 11 del PDF). Euros.</t>
  </si>
  <si>
    <t xml:space="preserve">Movimiento</t>
  </si>
  <si>
    <t xml:space="preserve">Capital</t>
  </si>
  <si>
    <t xml:space="preserve">Reservas</t>
  </si>
  <si>
    <t xml:space="preserve">Rdos. negativos ej. anteriores</t>
  </si>
  <si>
    <t xml:space="preserve">Otras aportaciones socios</t>
  </si>
  <si>
    <t xml:space="preserve">Subvenciones</t>
  </si>
  <si>
    <t xml:space="preserve">TOTAL</t>
  </si>
  <si>
    <t xml:space="preserve">EJERCICIO 2023/24</t>
  </si>
  <si>
    <t xml:space="preserve">Saldo al 01/07/2023</t>
  </si>
  <si>
    <t xml:space="preserve">Total ingresos y gastos reconocidos (subvenciones: +136.164,11 − 173.613,68)</t>
  </si>
  <si>
    <t xml:space="preserve">Distribución del resultado 2022/23 (a reservas)</t>
  </si>
  <si>
    <t xml:space="preserve">Resultado del ejercicio 2023/24</t>
  </si>
  <si>
    <t xml:space="preserve">Saldo final al 30/06/2024</t>
  </si>
  <si>
    <t xml:space="preserve">EJERCICIO 2024/25</t>
  </si>
  <si>
    <t xml:space="preserve">Saldo al 01/07/2024 (= saldo final anterior)</t>
  </si>
  <si>
    <t xml:space="preserve">Total ingresos y gastos reconocidos (subvenciones a PyG)</t>
  </si>
  <si>
    <t xml:space="preserve">Distribución del resultado 2023/24 (a pérdidas acumuladas)</t>
  </si>
  <si>
    <t xml:space="preserve">Resultado del ejercicio 2024/25</t>
  </si>
  <si>
    <t xml:space="preserve">Saldo final al 30/06/2025</t>
  </si>
  <si>
    <t xml:space="preserve">Dif. total vs Balance (24/25 · 23/24)</t>
  </si>
  <si>
    <t xml:space="preserve">• Resultado 2022/23: +3,61 M€ (beneficio), que se llevó a reservas. Es el único dato oficial de 22/23 que tenemos.</t>
  </si>
  <si>
    <t xml:space="preserve">• Patrimonio neto al 01/07/2023: 84,67 M€.</t>
  </si>
  <si>
    <t xml:space="preserve">• No hubo dividendos, ampliaciones de capital ni aportaciones nuevas de socios en ninguno de los dos años.</t>
  </si>
  <si>
    <t xml:space="preserve">Nota 7 — Inmovilizado intangible: movimientos</t>
  </si>
  <si>
    <t xml:space="preserve">Fuente: 3.a.v-CCAA-Villarreal-24-25-firmado.pdf, Nota 7 de la memoria, pp. 27–30 del PDF. Tabla 7.1: p. 27; 7.2–7.2.1: p. 28; 7.2.2: p. 29; 7.2.3–7.4: p. 30. Importes en euros.</t>
  </si>
  <si>
    <t xml:space="preserve">Derechos adquisición jugadores e inmov. en curso</t>
  </si>
  <si>
    <t xml:space="preserve">Derechos s/inversión inst. cedidas</t>
  </si>
  <si>
    <t xml:space="preserve">Aplicaciones informáticas</t>
  </si>
  <si>
    <t xml:space="preserve">Total</t>
  </si>
  <si>
    <t xml:space="preserve">COSTE BRUTO — 2023/24</t>
  </si>
  <si>
    <t xml:space="preserve">A) Saldo inicial bruto 23/24</t>
  </si>
  <si>
    <t xml:space="preserve">(+) Ampliaciones y mejoras (altas)</t>
  </si>
  <si>
    <t xml:space="preserve">(−) Salidas, bajas o reducciones</t>
  </si>
  <si>
    <t xml:space="preserve">B) Saldo final bruto 23/24</t>
  </si>
  <si>
    <t xml:space="preserve">COSTE BRUTO — 2024/25</t>
  </si>
  <si>
    <t xml:space="preserve">(−/+) Traspasos a/de otras partidas</t>
  </si>
  <si>
    <t xml:space="preserve">D) Saldo final bruto 24/25</t>
  </si>
  <si>
    <t xml:space="preserve">AMORTIZACIÓN ACUMULADA — 2023/24</t>
  </si>
  <si>
    <t xml:space="preserve">E) Saldo inicial 23/24</t>
  </si>
  <si>
    <t xml:space="preserve">(+) Dotación del ejercicio 23/24</t>
  </si>
  <si>
    <t xml:space="preserve">(−) Disminuciones por salidas, bajas o traspasos</t>
  </si>
  <si>
    <t xml:space="preserve">F) Saldo final 23/24</t>
  </si>
  <si>
    <t xml:space="preserve">AMORTIZACIÓN ACUMULADA — 2024/25</t>
  </si>
  <si>
    <t xml:space="preserve">(+) Dotación del ejercicio 24/25</t>
  </si>
  <si>
    <t xml:space="preserve">H) Saldo final 24/25</t>
  </si>
  <si>
    <t xml:space="preserve">Deterioro (correcciones de valor) 24/25: saldo inicial y final 0 en todas las columnas.</t>
  </si>
  <si>
    <t xml:space="preserve">VALOR NETO CONTABLE (bruto − amortización) y cruce con el Balance</t>
  </si>
  <si>
    <t xml:space="preserve">Valor neto 30/06/2025</t>
  </si>
  <si>
    <t xml:space="preserve">Valor neto 30/06/2024</t>
  </si>
  <si>
    <t xml:space="preserve">Según Balance 30/06/2025 (Otro inmov. · Concesiones · Patentes · — · Total)</t>
  </si>
  <si>
    <t xml:space="preserve">Según Balance 30/06/2024 (Otro inmov. · Concesiones · Patentes · — · Total)</t>
  </si>
  <si>
    <t xml:space="preserve">Dif. 24/25 (nota − balance)</t>
  </si>
  <si>
    <t xml:space="preserve">Dif. 23/24 (nota − balance)</t>
  </si>
  <si>
    <t xml:space="preserve">Conclusión del cruce: 'Otro inmovilizado intangible' del balance = derechos de jugadores; 'Concesiones' = derechos sobre inversión en instalaciones cedidas.</t>
  </si>
  <si>
    <t xml:space="preserve">Inversión en jugadores (altas brutas)</t>
  </si>
  <si>
    <t xml:space="preserve">Fichajes y otros costes activados en el año.</t>
  </si>
  <si>
    <t xml:space="preserve">Coste bruto de jugadores dados de baja</t>
  </si>
  <si>
    <t xml:space="preserve">Amortización acumulada de esas bajas</t>
  </si>
  <si>
    <t xml:space="preserve">Valor neto contable de las bajas</t>
  </si>
  <si>
    <t xml:space="preserve">Lo que valían en libros los jugadores que salieron.</t>
  </si>
  <si>
    <t xml:space="preserve">Resultado por enajenaciones (PyG línea 11b)</t>
  </si>
  <si>
    <t xml:space="preserve">Enlace a la hoja PyG.</t>
  </si>
  <si>
    <t xml:space="preserve">Precio implícito de salida ≈ valor neto + resultado</t>
  </si>
  <si>
    <t xml:space="preserve">ESTIMACIÓN: la línea 11b puede incluir otras cosas (variables, % de reventa, cesiones) y algunas bajas pueden ser fines de contrato.</t>
  </si>
  <si>
    <t xml:space="preserve">Amortización de jugadores del año</t>
  </si>
  <si>
    <t xml:space="preserve">Amortización total del intangible</t>
  </si>
  <si>
    <t xml:space="preserve">Amortización total en la PyG (línea 8)</t>
  </si>
  <si>
    <t xml:space="preserve">Diferencia = amortización del inmovilizado material e inversiones inmobiliarias (notas 5 y 6)</t>
  </si>
  <si>
    <t xml:space="preserve">Según la nota 28, la amortización material real es 2,27 M€ (no 2,52): la tabla de la nota 7 muestra 255.833 € menos de amortización de jugadores.</t>
  </si>
  <si>
    <t xml:space="preserve">7.2.2 VENTAS DE JUGADORES — detalle y conciliación con la PyG</t>
  </si>
  <si>
    <t xml:space="preserve">Fuente: nota 7.2.2, p. 29</t>
  </si>
  <si>
    <t xml:space="preserve">Comentario</t>
  </si>
  <si>
    <t xml:space="preserve">Nº de jugadores vendidos</t>
  </si>
  <si>
    <t xml:space="preserve">Precio de venta total</t>
  </si>
  <si>
    <t xml:space="preserve">Coste de adquisición original de esos jugadores</t>
  </si>
  <si>
    <t xml:space="preserve">Valor contable al venderlos</t>
  </si>
  <si>
    <t xml:space="preserve">Beneficio bruto = precio − valor contable</t>
  </si>
  <si>
    <t xml:space="preserve">Documento: 97.550.475,85 / 23.787.874,81</t>
  </si>
  <si>
    <t xml:space="preserve">(−) Pagado a intermediarios (agentes)</t>
  </si>
  <si>
    <t xml:space="preserve">(−) Pagado a terceros con derechos sobre el traspaso</t>
  </si>
  <si>
    <t xml:space="preserve">El documento lo escribe '-2.758.732,60'; con signo − cuadra el total.</t>
  </si>
  <si>
    <t xml:space="preserve">(+/−) Otros gastos/ingresos de las ventas</t>
  </si>
  <si>
    <t xml:space="preserve">Beneficio neto de las ventas del año</t>
  </si>
  <si>
    <t xml:space="preserve">Documento: 90.841.283,72 / 22.270.374,82</t>
  </si>
  <si>
    <t xml:space="preserve">(−) Bajas sin venta (fin de contrato, etc.): valor contable</t>
  </si>
  <si>
    <t xml:space="preserve">24/25: 6 jugadores · 23/24: 10 jugadores</t>
  </si>
  <si>
    <t xml:space="preserve">(−) Otros movimientos de esas bajas</t>
  </si>
  <si>
    <t xml:space="preserve">(+) Variables cobrados de ventas de años anteriores</t>
  </si>
  <si>
    <t xml:space="preserve">Bonus por objetivos de jugadores vendidos antes</t>
  </si>
  <si>
    <t xml:space="preserve">(+) Beneficio por venta de inmovilizado material (nota 13.4.4)</t>
  </si>
  <si>
    <t xml:space="preserve">Corregido el 10/10: antes había cesiones; según 13.4.9 van en otros ingresos.</t>
  </si>
  <si>
    <t xml:space="preserve">(nota) Cesiones: NO van en la línea 11 (ver 13.4.9)</t>
  </si>
  <si>
    <t xml:space="preserve">Suma de todo lo anterior</t>
  </si>
  <si>
    <t xml:space="preserve">PyG línea 11b: resultados por enajenaciones</t>
  </si>
  <si>
    <t xml:space="preserve">Diferencia (suma − PyG)</t>
  </si>
  <si>
    <t xml:space="preserve">24/25: −0,33 € (redondeo) → CUADRA. 23/24: +3,76 M€ porque la PyG reparte la línea 11 de otra forma (deterioros +1,68 y regularizaciones de pasivo); ver la conciliación completa en la hoja Nota13 → cuadra.</t>
  </si>
  <si>
    <t xml:space="preserve">RESUMEN VENTAS (M€)</t>
  </si>
  <si>
    <t xml:space="preserve">Beneficio neto de ventas del año</t>
  </si>
  <si>
    <t xml:space="preserve">Variables de ventas anteriores</t>
  </si>
  <si>
    <t xml:space="preserve">Comisiones a agentes</t>
  </si>
  <si>
    <t xml:space="preserve">Precio implícito estimado antes (valor neto bajas + resultado)</t>
  </si>
  <si>
    <t xml:space="preserve">Mi estimación anterior; el dato real es 114,2 M€.</t>
  </si>
  <si>
    <t xml:space="preserve">7.2 / 7.2.1 / 7.2.3 — FICHAJES, PROPIEDAD Y PLANTILLA</t>
  </si>
  <si>
    <t xml:space="preserve">Fuente: p. 28 y 30</t>
  </si>
  <si>
    <t xml:space="preserve">Altas 24/25: precio de adquisición</t>
  </si>
  <si>
    <t xml:space="preserve">Altas 24/25: honorarios de intermediación</t>
  </si>
  <si>
    <t xml:space="preserve">Total altas por conceptos (documento: 60.120.775,11)</t>
  </si>
  <si>
    <t xml:space="preserve">Diferencia con la tabla 7.1 (61.281.717,39)</t>
  </si>
  <si>
    <t xml:space="preserve">≈ 1,16 M€ pagados por opciones de compra sobre 4 jugadores (inmov. en curso).</t>
  </si>
  <si>
    <t xml:space="preserve">Jugadores con derechos activados al cierre</t>
  </si>
  <si>
    <t xml:space="preserve">Inversión total en esos derechos</t>
  </si>
  <si>
    <t xml:space="preserve">Pendiente de amortizar</t>
  </si>
  <si>
    <t xml:space="preserve">% pendiente de amortizar</t>
  </si>
  <si>
    <t xml:space="preserve">Documento: 46% / 40%</t>
  </si>
  <si>
    <t xml:space="preserve">Duración media de contratos de la plantilla inscribible (años)</t>
  </si>
  <si>
    <t xml:space="preserve">• Opciones de compra: 1,32 M€ pagados en años anteriores por 3 jugadores; ejercidas en 24/25 pagando 240.000 €. Además 1,16 M€ pagados por opciones sobre 4 jugadores no ejercidas al cierre.</t>
  </si>
  <si>
    <t xml:space="preserve">• Derechos compartidos: el texto dice 7 jugadores no son 100% del club, pero la tabla suma 17 (1+1+11+1+1+2). INCONSISTENCIA EN EL DOCUMENTO — anotar.</t>
  </si>
  <si>
    <t xml:space="preserve">• Hay acuerdos con otros clubes para compartir el ingreso de un futuro traspaso de 20 jugadores.</t>
  </si>
  <si>
    <t xml:space="preserve">• 26 fichajes tienen pagos variables pendientes según condiciones (competiciones, partidos jugados).</t>
  </si>
  <si>
    <t xml:space="preserve">• Ningún fondo de inversión participó en compras o ventas de jugadores.</t>
  </si>
  <si>
    <t xml:space="preserve">7.1 / 7.3 — INSTALACIONES CEDIDAS (para el paso 5: Estadio)</t>
  </si>
  <si>
    <t xml:space="preserve">Fuente: p. 27 y 30</t>
  </si>
  <si>
    <t xml:space="preserve">• Estadio de la Cerámica: propiedad del Ayuntamiento de Villarreal; uso cedido al club por convenio del 17/03/2008, 25 años ampliable a 50.</t>
  </si>
  <si>
    <t xml:space="preserve">• Ciudad deportiva nueva: terrenos del Ayuntamiento cedidos por concesión administrativa del 27/04/2015, 75 años, gratuita, con cláusulas de rescate ligadas a la calificación urbanística. En funcionamiento desde 15/16.</t>
  </si>
  <si>
    <t xml:space="preserve">• Las mejoras se amortizan en el plazo de la concesión o en la vida útil del activo, el menor.</t>
  </si>
  <si>
    <t xml:space="preserve">• La reforma del estadio se completó en 23/24 y 'será financiada con el préstamo participativo suscrito con La Liga'. → Ver nota 9.b (importe, tasa, plazo).</t>
  </si>
  <si>
    <t xml:space="preserve">• Altas en instalaciones cedidas: 3,88 M€ en 23/24 y 1,62 M€ en 24/25 (tabla 7.1). El grueso de la reforma estaría en años anteriores: saldo bruto de 105,0 M€ a inicio de 23/24.</t>
  </si>
  <si>
    <t xml:space="preserve">Nota 9 — Instrumentos financieros (deudores, deudas, préstamo LaLiga, capital)</t>
  </si>
  <si>
    <t xml:space="preserve">Fuente: 3.a.v-CCAA-Villarreal-24-25-firmado.pdf, Nota 9, pp. 31–34 del PDF (estimado: páginas impresas 23–26 + 8; confirmar). Euros.</t>
  </si>
  <si>
    <t xml:space="preserve">a) ACTIVOS FINANCIEROS (salvo participaciones) — p. 31</t>
  </si>
  <si>
    <t xml:space="preserve">CP 30/06/25</t>
  </si>
  <si>
    <t xml:space="preserve">LP 30/06/25</t>
  </si>
  <si>
    <t xml:space="preserve">CP 30/06/24</t>
  </si>
  <si>
    <t xml:space="preserve">LP 30/06/24</t>
  </si>
  <si>
    <t xml:space="preserve">Créditos concedidos a terceros</t>
  </si>
  <si>
    <t xml:space="preserve">Clientes</t>
  </si>
  <si>
    <t xml:space="preserve">Clientes empresas del grupo</t>
  </si>
  <si>
    <t xml:space="preserve">Deudores diversos</t>
  </si>
  <si>
    <t xml:space="preserve">Personal</t>
  </si>
  <si>
    <t xml:space="preserve">Administraciones Públicas</t>
  </si>
  <si>
    <t xml:space="preserve">Fianzas y depósitos constituidos</t>
  </si>
  <si>
    <t xml:space="preserve">Dif. CP vs Balance 'Deudores comerciales' (€) — 23/24 en miles redondeados en la nota</t>
  </si>
  <si>
    <t xml:space="preserve">• RESUELTO (nota 28): a 30/06/2025 los clubes deben 127,5 M€ de los 137,2 M€ de deudores (93%). A 30/06/2024: 72,4 M€.</t>
  </si>
  <si>
    <t xml:space="preserve">• Participaciones a LP (p. 31–32): grupo 2.000 · G-12 6.000 · otras sociedades 1.074.115,53 (1.094.368,79 en 23/24). Sin deterioro.</t>
  </si>
  <si>
    <t xml:space="preserve">b) PASIVOS FINANCIEROS — p. 32</t>
  </si>
  <si>
    <t xml:space="preserve">Préstamos y pólizas de entidades financieras</t>
  </si>
  <si>
    <t xml:space="preserve">Provisiones para riesgos y gastos</t>
  </si>
  <si>
    <t xml:space="preserve">Otras deudas (≈ préstamo participativo LaLiga)</t>
  </si>
  <si>
    <t xml:space="preserve">Deudas con empresas del grupo</t>
  </si>
  <si>
    <t xml:space="preserve">Acreedores comerciales</t>
  </si>
  <si>
    <t xml:space="preserve">Remuneraciones pendientes de pago</t>
  </si>
  <si>
    <t xml:space="preserve">Administraciones Públicas (LP = impuesto diferido)</t>
  </si>
  <si>
    <t xml:space="preserve">Ajustes por periodificación</t>
  </si>
  <si>
    <t xml:space="preserve">Dif. vs Balance (pasivo corriente / no corriente)</t>
  </si>
  <si>
    <t xml:space="preserve">Balance 'Deudas a L.P.' (131,0) = otras deudas + acreedores comerciales + remuneraciones a LP → dif.</t>
  </si>
  <si>
    <t xml:space="preserve">• Deuda con bancos = 0 en ambos años. Deuda con empresas del grupo = 0 al cierre de ambos años.</t>
  </si>
  <si>
    <t xml:space="preserve">VENCIMIENTOS DE LA DEUDA A LARGO PLAZO — p. 33</t>
  </si>
  <si>
    <t xml:space="preserve">30/06/2025</t>
  </si>
  <si>
    <t xml:space="preserve">Remuneraciones</t>
  </si>
  <si>
    <t xml:space="preserve">Entidades financieras</t>
  </si>
  <si>
    <t xml:space="preserve">Otras deudas</t>
  </si>
  <si>
    <t xml:space="preserve">Provisiones</t>
  </si>
  <si>
    <t xml:space="preserve">AAPP</t>
  </si>
  <si>
    <t xml:space="preserve">Dos años</t>
  </si>
  <si>
    <t xml:space="preserve">Tres años</t>
  </si>
  <si>
    <t xml:space="preserve">Cuatro años</t>
  </si>
  <si>
    <t xml:space="preserve">Cinco años</t>
  </si>
  <si>
    <t xml:space="preserve">Más de cinco años</t>
  </si>
  <si>
    <t xml:space="preserve">30/06/2024</t>
  </si>
  <si>
    <t xml:space="preserve">• Rareza: en 23/24 la tabla de vencimientos da 9,67 M€ en acreedores y 0,875 en remuneraciones, pero el cuadro de pasivos da 9,53 y 1,02. Los totales no coinciden en el documento.</t>
  </si>
  <si>
    <t xml:space="preserve">• 'Otras deudas' se devuelven 2,71 M€ al año; el grueso (94,9 M€) vence a más de 5 años.</t>
  </si>
  <si>
    <t xml:space="preserve">CONCILIACIÓN: el +11,7 M€ de 'otras deudas' del flujo de financiación 24/25</t>
  </si>
  <si>
    <t xml:space="preserve">Variación de 'otras deudas' (CP+LP) — préstamo LaLiga</t>
  </si>
  <si>
    <t xml:space="preserve">Variación de acreedores comerciales a LP (¿pagos aplazados de fichajes?)</t>
  </si>
  <si>
    <t xml:space="preserve">Variación de remuneraciones a LP</t>
  </si>
  <si>
    <t xml:space="preserve">Suma</t>
  </si>
  <si>
    <t xml:space="preserve">Flujo de financiación 'otras deudas' 24/25</t>
  </si>
  <si>
    <t xml:space="preserve">Diferencia</t>
  </si>
  <si>
    <t xml:space="preserve">→ CORRECCIÓN: el +11,7 M€ NO es dinero nuevo de LaLiga. El préstamo LaLiga BAJÓ 2,9 M€; lo que subió son acreedores comerciales a LP (+14,7 M€).</t>
  </si>
  <si>
    <t xml:space="preserve">PRÉSTAMO PARTICIPATIVO LaLiga – PLAN IMPULSO (fondo CVC) — pp. 33–34</t>
  </si>
  <si>
    <t xml:space="preserve">• Pendiente de devolver al 30/06/2025: 108.599.966,90 € (≈ 'otras deudas' CP+LP: 108,6 M€).</t>
  </si>
  <si>
    <t xml:space="preserve">• Origen: acuerdo de LaLiga con el fondo CVC. El fondo aporta dinero que LaLiga presta a los clubes para infraestructuras, tecnología e internacionalización.</t>
  </si>
  <si>
    <t xml:space="preserve">• A cambio, CVC recibe (vía cuenta en participación) el 10,95% de los ingresos netos gestionados por LaLiga que corresponden al club.</t>
  </si>
  <si>
    <t xml:space="preserve">• Coste del préstamo para el club: 1,52% de los ingresos de TV que le hubieran correspondido (no es un tipo de interés fijo).</t>
  </si>
  <si>
    <t xml:space="preserve">• Plazo: 50 años, termina en 2072. Desembolsado por LaLiga en varios plazos hasta 2025.</t>
  </si>
  <si>
    <t xml:space="preserve">• Préstamo del segundo equipo (filial): devolución suspendida hasta que recupere categoría o pasen 10 años → clasificado a más de 5 años.</t>
  </si>
  <si>
    <t xml:space="preserve">• Usos: la nota 7 dice que la reforma del Estadio de la Cerámica 'será financiada' con este préstamo.</t>
  </si>
  <si>
    <t xml:space="preserve">PROVISIONES, GARANTÍAS Y CAPITAL — pp. 33–34</t>
  </si>
  <si>
    <t xml:space="preserve">• Provisión 682.992 € (desde 18/19) por un procedimiento legal. Otra de 2,5 M€ por un procedimiento tributario, pagada en 22/23; el club la reclama (pendiente).</t>
  </si>
  <si>
    <t xml:space="preserve">• Impuesto diferido (5,89 M€) clasificado a más de 5 años porque depende de resultados futuros (ver nota fiscal).</t>
  </si>
  <si>
    <t xml:space="preserve">• Avales concedidos por el club: 4.372.118,83 € (4.172.452,18 en 23/24). Avales recibidos: 0.</t>
  </si>
  <si>
    <t xml:space="preserve">• Capital: 69.575.335,95 €, 2.315.319 acciones de 30,05 €, totalmente desembolsado.</t>
  </si>
  <si>
    <t xml:space="preserve">• Accionista principal: Nomar Patrimonial, S.L., con el 98,79% del capital.</t>
  </si>
  <si>
    <t xml:space="preserve">• 'Otras aportaciones de socios' (1,03 M€): aportación del accionista principal en 12/13.</t>
  </si>
  <si>
    <t xml:space="preserve">• Pendiente: los 19 M€ devueltos a 'empresas del grupo' en 23/24 (flujo de financiación) no se explican aquí → nota de partes vinculadas.</t>
  </si>
  <si>
    <t xml:space="preserve">DEUDA NETA (M€) — definición en columna D</t>
  </si>
  <si>
    <t xml:space="preserve">Deuda financiera (préstamo LaLiga = otras deudas CP+LP)</t>
  </si>
  <si>
    <t xml:space="preserve">Bancos = 0.</t>
  </si>
  <si>
    <t xml:space="preserve">(−) Caja</t>
  </si>
  <si>
    <t xml:space="preserve">DEUDA FINANCIERA NETA</t>
  </si>
  <si>
    <t xml:space="preserve">Definición estricta.</t>
  </si>
  <si>
    <t xml:space="preserve">(+) Acreedores comerciales a LP (18,3 M€ son clubes, nota 28)</t>
  </si>
  <si>
    <t xml:space="preserve">Hipótesis: no dice que sean clubes.</t>
  </si>
  <si>
    <t xml:space="preserve">DEUDA NETA AMPLIADA</t>
  </si>
  <si>
    <t xml:space="preserve">No incluye lo que le deben al club (137 M€).</t>
  </si>
  <si>
    <t xml:space="preserve">Fuente: 3.a.v-CCAA-Villarreal-24-25-firmado.pdf, Nota 13, pp. 38–45 del PDF (13.4.9 en pp. 44–45). Euros.</t>
  </si>
  <si>
    <t xml:space="preserve">Estado de todas las comprobaciones de la hoja:</t>
  </si>
  <si>
    <t xml:space="preserve">13.1 IMPORTE NETO DE LA CIFRA DE NEGOCIOS — criterio LaLiga (LFP) — p. 38</t>
  </si>
  <si>
    <t xml:space="preserve">% s/total 24/25</t>
  </si>
  <si>
    <t xml:space="preserve">% s/total 23/24</t>
  </si>
  <si>
    <t xml:space="preserve">Liga</t>
  </si>
  <si>
    <t xml:space="preserve">UEFA Europa League</t>
  </si>
  <si>
    <t xml:space="preserve">Otras competiciones y partidos amistosos</t>
  </si>
  <si>
    <t xml:space="preserve">Ingresos por competiciones</t>
  </si>
  <si>
    <t xml:space="preserve">Ingresos por abonados y socios</t>
  </si>
  <si>
    <t xml:space="preserve">Real Decreto-Ley 5/2015 (TV LaLiga)</t>
  </si>
  <si>
    <t xml:space="preserve">Competiciones europeas (market pool UEFA)</t>
  </si>
  <si>
    <t xml:space="preserve">Ingresos por retransmisión (TV)</t>
  </si>
  <si>
    <t xml:space="preserve">Venta tiendas</t>
  </si>
  <si>
    <t xml:space="preserve">Otros (comercialización)</t>
  </si>
  <si>
    <t xml:space="preserve">Ingresos por comercialización</t>
  </si>
  <si>
    <t xml:space="preserve">Ingresos por publicidad (todo en 'otros')</t>
  </si>
  <si>
    <t xml:space="preserve">IMPORTE NETO CIFRA DE NEGOCIOS SEGÚN LFP</t>
  </si>
  <si>
    <t xml:space="preserve">Dif. vs total del documento — 13.1</t>
  </si>
  <si>
    <t xml:space="preserve">Importe neto cifra de negocios según PyG</t>
  </si>
  <si>
    <t xml:space="preserve">Diferencia LFP − PyG (documento: 1.487.887 / 694.878)</t>
  </si>
  <si>
    <t xml:space="preserve">• Según el documento, la diferencia se debe a: patrocinios recibidos de LaLiga (en la PyG, pero no en la cifra LFP) y a las tiendas (en la cifra LFP, pero en 'otros ingresos' en la PyG). Con los datos publicados no se puede reproducir la cifra exacta.</t>
  </si>
  <si>
    <t xml:space="preserve">• Para el desglose de ingresos (pasos 2 y 3) usamos este cuadro LFP: es el único desglose publicado. Total 1,5 M€ distinto de la PyG.</t>
  </si>
  <si>
    <t xml:space="preserve">13.2 GASTOS DE PERSONAL — pp. 38–39</t>
  </si>
  <si>
    <t xml:space="preserve">Personal NO deportivo</t>
  </si>
  <si>
    <t xml:space="preserve">Sueldos y salarios</t>
  </si>
  <si>
    <t xml:space="preserve">Indemnizaciones</t>
  </si>
  <si>
    <t xml:space="preserve">Seguridad Social</t>
  </si>
  <si>
    <t xml:space="preserve">Otros gastos sociales</t>
  </si>
  <si>
    <t xml:space="preserve">Total personal no deportivo</t>
  </si>
  <si>
    <t xml:space="preserve">Dif. vs total del documento — no deportivo</t>
  </si>
  <si>
    <t xml:space="preserve">Plantilla deportiva (concepto LaLiga)</t>
  </si>
  <si>
    <t xml:space="preserve">Inscribible 24/25</t>
  </si>
  <si>
    <t xml:space="preserve">No inscribible 24/25</t>
  </si>
  <si>
    <t xml:space="preserve">Inscribible 23/24</t>
  </si>
  <si>
    <t xml:space="preserve">No inscribible 23/24</t>
  </si>
  <si>
    <t xml:space="preserve">Total 24/25</t>
  </si>
  <si>
    <t xml:space="preserve">Total 23/24</t>
  </si>
  <si>
    <t xml:space="preserve">Contrato laboral — fijo</t>
  </si>
  <si>
    <t xml:space="preserve">Contrato laboral — variable</t>
  </si>
  <si>
    <t xml:space="preserve">Derechos de imagen (fijo)</t>
  </si>
  <si>
    <t xml:space="preserve">Ingresos/gastos cesiones (+ gasto, − ingreso)</t>
  </si>
  <si>
    <t xml:space="preserve">Gastos adquisición jugadores</t>
  </si>
  <si>
    <t xml:space="preserve">Primas colectivas</t>
  </si>
  <si>
    <t xml:space="preserve">Total coste plantilla deportiva</t>
  </si>
  <si>
    <t xml:space="preserve">Dif. vs total del documento — plantilla</t>
  </si>
  <si>
    <t xml:space="preserve">CONCILIACIÓN con la PyG: gastos de personal (línea 6)</t>
  </si>
  <si>
    <t xml:space="preserve">Plantilla deportiva: contrato + indemnizaciones + Seg. Social + primas</t>
  </si>
  <si>
    <t xml:space="preserve">   de ello, plantilla inscribible (primer equipo)</t>
  </si>
  <si>
    <t xml:space="preserve">   de ello, plantilla no inscribible (filial, cantera)</t>
  </si>
  <si>
    <t xml:space="preserve">Personal no deportivo</t>
  </si>
  <si>
    <t xml:space="preserve">Suma (deportivo + no deportivo)</t>
  </si>
  <si>
    <t xml:space="preserve">Gastos de personal según PyG (en positivo)</t>
  </si>
  <si>
    <t xml:space="preserve">Diferencia (debe ser ≈ 0)</t>
  </si>
  <si>
    <t xml:space="preserve">• Cuadra al céntimo (23/24: 0,03 € de redondeo) SIN los derechos de imagen: están fuera de 'gastos de personal' en la PyG (la nota no dice en qué línea; probablemente servicios exteriores).</t>
  </si>
  <si>
    <t xml:space="preserve">• Las cesiones, gastos de adquisición y amortización que suma LaLiga en el 'coste de plantilla' tampoco están en gastos de personal.</t>
  </si>
  <si>
    <t xml:space="preserve">Chequeo: amortización plantilla (13.2) vs amortización de jugadores (nota 7)</t>
  </si>
  <si>
    <t xml:space="preserve">Diferencia (13.2 − nota 7)</t>
  </si>
  <si>
    <t xml:space="preserve">• 23/24 cuadra exacto. 24/25: la nota 13 tiene 255.833,33 € más de amortización que la nota 7. No se explica en el documento.</t>
  </si>
  <si>
    <t xml:space="preserve">13.3 PÉRDIDAS Y DETERIORO POR OPERACIONES COMERCIALES — p. 40</t>
  </si>
  <si>
    <t xml:space="preserve">Nuevas dotaciones</t>
  </si>
  <si>
    <t xml:space="preserve">Recuperación de dotaciones</t>
  </si>
  <si>
    <t xml:space="preserve">Saldo (= PyG línea 7c)</t>
  </si>
  <si>
    <t xml:space="preserve">Dif. vs total del documento — 13.3</t>
  </si>
  <si>
    <t xml:space="preserve">13.4.1 TRANSACCIONES CON EMPRESAS DEL GRUPO (grupo del accionista) — pp. 40–41</t>
  </si>
  <si>
    <t xml:space="preserve">Sociedad</t>
  </si>
  <si>
    <t xml:space="preserve">Compras/gastos 24/25</t>
  </si>
  <si>
    <t xml:space="preserve">Ingresos 24/25</t>
  </si>
  <si>
    <t xml:space="preserve">Compras/gastos 23/24</t>
  </si>
  <si>
    <t xml:space="preserve">Ingresos 23/24</t>
  </si>
  <si>
    <t xml:space="preserve">Acrilatos, SAU</t>
  </si>
  <si>
    <t xml:space="preserve">Ascale Élite SLU</t>
  </si>
  <si>
    <t xml:space="preserve">Ecoceramic S.L.U.</t>
  </si>
  <si>
    <t xml:space="preserve">Geotiles, S.L.U.</t>
  </si>
  <si>
    <t xml:space="preserve">Ingeniería y Comercialización del Gas S.A.</t>
  </si>
  <si>
    <t xml:space="preserve">Navarti Cerámica S.L.U.</t>
  </si>
  <si>
    <t xml:space="preserve">Nomar Patrimonial S.L.(U.)</t>
  </si>
  <si>
    <t xml:space="preserve">Pamesa Cerámica Compacto S.L.U.</t>
  </si>
  <si>
    <t xml:space="preserve">Pamesa Grupo Empresarial, SLU</t>
  </si>
  <si>
    <t xml:space="preserve">Prissmacer Cerámica, S.L.U.</t>
  </si>
  <si>
    <t xml:space="preserve">Tau Cerámica Solutions, S.L.U.</t>
  </si>
  <si>
    <t xml:space="preserve">Dif. vs total del documento — 13.4.1</t>
  </si>
  <si>
    <t xml:space="preserve">Ingresos del grupo en M€ (24/25 · 23/24)</t>
  </si>
  <si>
    <t xml:space="preserve">Ingresos del grupo / publicidad (cuadro LFP)</t>
  </si>
  <si>
    <t xml:space="preserve">• Pamesa Grupo Empresarial pagó al club 13,72 M€ en 24/25 (0,08 en 23/24). En 23/24 el pago grande fue de Nomar Patrimonial (5,18 M€). La nota NO dice el concepto; por el importe y porque la publicidad subió 6,9 M€, lo más probable es que sea patrocinio. HIPÓTESIS.</t>
  </si>
  <si>
    <t xml:space="preserve">• Los diferencias de 0,01–0,02 € en los totales de ingresos son redondeos del documento.</t>
  </si>
  <si>
    <t xml:space="preserve">13.4.2 TRANSACCIONES EN MONEDA EXTRANJERA — p. 41–42 (importes pequeños)</t>
  </si>
  <si>
    <t xml:space="preserve">• Pagos 24/25: 104.057,53 € (USD 6.850,14 · GBP 97.207,39). 23/24: 59.405,26 €. Cobros 24/25: USD 407.247,15 €; 23/24: 261.261,33 €. Ningún fichaje ni venta en divisa.</t>
  </si>
  <si>
    <t xml:space="preserve">13.4.3 EMPLEADOS — p. 42</t>
  </si>
  <si>
    <t xml:space="preserve">Categoría</t>
  </si>
  <si>
    <t xml:space="preserve">Medio 24/25</t>
  </si>
  <si>
    <t xml:space="preserve">Medio 23/24</t>
  </si>
  <si>
    <t xml:space="preserve">Cierre 24/25</t>
  </si>
  <si>
    <t xml:space="preserve">Cierre 23/24</t>
  </si>
  <si>
    <t xml:space="preserve">Altos directivos / consejeros</t>
  </si>
  <si>
    <t xml:space="preserve">Resto de personal directivo</t>
  </si>
  <si>
    <t xml:space="preserve">Personal deportivo</t>
  </si>
  <si>
    <t xml:space="preserve">Empleados de tipo administrativo</t>
  </si>
  <si>
    <t xml:space="preserve">Comerciales, vendedores y similares</t>
  </si>
  <si>
    <t xml:space="preserve">Resto de personal cualificado</t>
  </si>
  <si>
    <t xml:space="preserve">Trabajadores no cualificados</t>
  </si>
  <si>
    <t xml:space="preserve">Dif. vs total del documento — empleados</t>
  </si>
  <si>
    <t xml:space="preserve">• Al cierre 24/25: 294 hombres y 76 mujeres (23/24: 329 y 69). En la tabla del documento, los 2 'altos directivos' del empleo medio aparecen como 'consejeros' al cierre.</t>
  </si>
  <si>
    <t xml:space="preserve">13.4.4 GASTOS E INGRESOS EXCEPCIONALES — pp. 42–43 · explican la línea 11 de la PyG</t>
  </si>
  <si>
    <t xml:space="preserve">Gastos excepcionales</t>
  </si>
  <si>
    <t xml:space="preserve">Pérdidas inmovilizado material</t>
  </si>
  <si>
    <t xml:space="preserve">Pérdidas procedentes del traspaso de jugadores</t>
  </si>
  <si>
    <t xml:space="preserve">Donaciones (24/25: ayuda DANA)</t>
  </si>
  <si>
    <t xml:space="preserve">Gastos no deducibles</t>
  </si>
  <si>
    <t xml:space="preserve">Pérdidas activo circulante</t>
  </si>
  <si>
    <t xml:space="preserve">Siniestros</t>
  </si>
  <si>
    <t xml:space="preserve">Reclamaciones judiciales</t>
  </si>
  <si>
    <t xml:space="preserve">Regularizaciones pasivo</t>
  </si>
  <si>
    <t xml:space="preserve">Otros gastos extraordinarios</t>
  </si>
  <si>
    <t xml:space="preserve">TOTAL gastos excepcionales</t>
  </si>
  <si>
    <t xml:space="preserve">Dif. vs total del documento — gastos excepcionales</t>
  </si>
  <si>
    <t xml:space="preserve">Ingresos excepcionales</t>
  </si>
  <si>
    <t xml:space="preserve">Beneficios procedentes del traspaso de jugadores</t>
  </si>
  <si>
    <t xml:space="preserve">Beneficios venta inmovilizado material</t>
  </si>
  <si>
    <t xml:space="preserve">Siniestros (seguros)</t>
  </si>
  <si>
    <t xml:space="preserve">TOTAL ingresos excepcionales</t>
  </si>
  <si>
    <t xml:space="preserve">Dif. vs total del documento — ingresos excepcionales</t>
  </si>
  <si>
    <t xml:space="preserve">SEPARACIÓN DE LA LÍNEA 11 DE LA PyG (lo que pediste en el paso 2)</t>
  </si>
  <si>
    <t xml:space="preserve">Componente</t>
  </si>
  <si>
    <t xml:space="preserve">Resultado neto por traspasos de jugadores (beneficios − pérdidas)</t>
  </si>
  <si>
    <t xml:space="preserve">Venta/baja de inmovilizado material (neto)</t>
  </si>
  <si>
    <t xml:space="preserve">Donaciones</t>
  </si>
  <si>
    <t xml:space="preserve">Regularizaciones de pasivo (neto)</t>
  </si>
  <si>
    <t xml:space="preserve">Resto (no deducibles, judiciales, circulante, siniestros, otros)</t>
  </si>
  <si>
    <t xml:space="preserve">Deterioros o reversiones de jugadores</t>
  </si>
  <si>
    <t xml:space="preserve">TOTAL = línea 11 de la PyG</t>
  </si>
  <si>
    <t xml:space="preserve">Línea 11 según PyG</t>
  </si>
  <si>
    <t xml:space="preserve">Chequeo: traspasos netos (13.4.4) vs nota 7.2.2 (ventas + variables − bajas)</t>
  </si>
  <si>
    <t xml:space="preserve">Redondeo del documento (&lt; 0,5 €).</t>
  </si>
  <si>
    <t xml:space="preserve">• Las cesiones de jugadores NO están en la línea 11: están en 'otros ingresos de explotación' (13.4.9). Corregido en la hoja Nota7.</t>
  </si>
  <si>
    <t xml:space="preserve">• En 23/24 la PyG reparte la línea 11 entre 'deterioros' (+1,68) y 'enajenaciones' (24,75), pero el total cuadra con los excepcionales. No hubo deterioro real de jugadores: el resultado por traspasos fue 28,5 M€.</t>
  </si>
  <si>
    <t xml:space="preserve">13.4.8 SERVICIOS EXTERIORES (PyG línea 7a) — p. 43–44</t>
  </si>
  <si>
    <t xml:space="preserve">Comunicaciones</t>
  </si>
  <si>
    <t xml:space="preserve">Arrendamientos</t>
  </si>
  <si>
    <t xml:space="preserve">Reparaciones</t>
  </si>
  <si>
    <t xml:space="preserve">Servicios profesionales</t>
  </si>
  <si>
    <t xml:space="preserve">Seguros</t>
  </si>
  <si>
    <t xml:space="preserve">Servicios bancarios</t>
  </si>
  <si>
    <t xml:space="preserve">Publicidad</t>
  </si>
  <si>
    <t xml:space="preserve">Suministros</t>
  </si>
  <si>
    <t xml:space="preserve">Otros servicios exteriores</t>
  </si>
  <si>
    <t xml:space="preserve">Total servicios exteriores</t>
  </si>
  <si>
    <t xml:space="preserve">Dif. vs total del documento — 13.4.8</t>
  </si>
  <si>
    <t xml:space="preserve">13.4.9 INGRESOS ACCESORIOS (PyG línea 5a) — pp. 44–45 (el documento titula la tabla 'Servicios exteriores' por error)</t>
  </si>
  <si>
    <t xml:space="preserve">Cesión de jugadores</t>
  </si>
  <si>
    <t xml:space="preserve">Contratos colaboración</t>
  </si>
  <si>
    <t xml:space="preserve">Otros ingresos</t>
  </si>
  <si>
    <t xml:space="preserve">Ventas tienda</t>
  </si>
  <si>
    <t xml:space="preserve">Escuelas internacionales</t>
  </si>
  <si>
    <t xml:space="preserve">Ayuda al descenso</t>
  </si>
  <si>
    <t xml:space="preserve">Total ingresos accesorios</t>
  </si>
  <si>
    <t xml:space="preserve">Dif. vs total del documento — 13.4.9</t>
  </si>
  <si>
    <t xml:space="preserve">• Ventas de tienda: 1,50 M€ aquí vs 1,36 M€ en el cuadro LFP (13.1). No coinciden y el documento no lo explica.</t>
  </si>
  <si>
    <t xml:space="preserve">• 13.4.5: no hay ingresos o gastos de ejercicios futuros en la PyG. 13.4.6: 1.000 € de indemnización de seguros.</t>
  </si>
  <si>
    <t xml:space="preserve">NOTA 23 — OPERACIONES CON PARTES VINCULADAS (p. ? del PDF — confirmar)</t>
  </si>
  <si>
    <t xml:space="preserve">Alta dirección: sueldos, dietas y otras remuneraciones (€)</t>
  </si>
  <si>
    <t xml:space="preserve">• Remite a la tabla 13.4.1 (transacciones con empresas del grupo); no añade el concepto de cada operación.</t>
  </si>
  <si>
    <t xml:space="preserve">• Declara que las operaciones con partes vinculadas se hicieron a precios de mercado.</t>
  </si>
  <si>
    <t xml:space="preserve">• No hay préstamos ni anticipos a la alta dirección.</t>
  </si>
  <si>
    <t xml:space="preserve">• La web de transparencia da 915 miles para "retribuciones + gastos de viaje y representación de la dirección" en 24/25: es otro concepto (incluye gastos y quizá a más personas). No es comparable.</t>
  </si>
  <si>
    <t xml:space="preserve">• Siguen SIN explicar: el concepto de los 13,7 M€ de Pamesa Grupo Empresarial y los 19 M€ devueltos al grupo en 23/24.</t>
  </si>
  <si>
    <t xml:space="preserve">PAMESA: cuentas vs prensa</t>
  </si>
  <si>
    <t xml:space="preserve">Ingresos de Pamesa Grupo Empresarial 24/25 (nota 13.4.1)</t>
  </si>
  <si>
    <t xml:space="preserve">Patrocinio anual según internet (EXTERNO, dato del usuario, sin fuente concreta)</t>
  </si>
  <si>
    <t xml:space="preserve">Diferencia sin explicar</t>
  </si>
  <si>
    <t xml:space="preserve">• Nota 25.2.1: la línea de conciliación "Operación(es) de ingresos por encima del valor razonable" está VACÍA → club y LaLiga tratan estos ingresos como a valor de mercado.</t>
  </si>
  <si>
    <t xml:space="preserve">• Explicaciones posibles, NINGUNA confirmada: (1) el dato de 2,5 M€ es antiguo o solo cubre la camiseta; (2) los 13,7 M€ incluyen otros conceptos o pagos de varios años; (3) el accionista aporta dinero vía patrocinio en vez de como capital.</t>
  </si>
  <si>
    <t xml:space="preserve">Nota 25 — Otra información (control económico LaLiga, presupuesto, ratios, cantera)</t>
  </si>
  <si>
    <t xml:space="preserve">Fuente: 3.a.v-CCAA-Villarreal-24-25-firmado.pdf, Nota 25, pp. 46–52 del PDF (25.4 empieza en p. 49; 25.7 en p. 52). OJO: en 25.2 el documento pone 23/24 en la 1ª columna; aquí se reordena a 24/25 primero.</t>
  </si>
  <si>
    <t xml:space="preserve">Estado de todas las comprobaciones:</t>
  </si>
  <si>
    <t xml:space="preserve">25.1 HONORARIOS DEL AUDITOR — p. 46</t>
  </si>
  <si>
    <t xml:space="preserve">• Auditor: BETEA ESPAÑA AUDITORES, S.L.P. Honorarios cobrados en 24/25: 29.724,41 € (auditoría de 23/24 y procedimientos acordados para organismos).</t>
  </si>
  <si>
    <t xml:space="preserve">25.2.1 RESULTADO DEL FÚTBOL (control económico LaLiga) — A) INGRESOS RELEVANTES — pp. 46–47</t>
  </si>
  <si>
    <t xml:space="preserve">• El texto dice 'en miles de euros', pero estas tablas están en EUROS (con céntimos y cuadran con la PyG). Error del documento.</t>
  </si>
  <si>
    <t xml:space="preserve">Ingreso relevante</t>
  </si>
  <si>
    <t xml:space="preserve">Venta de entradas (taquilla + abonos)</t>
  </si>
  <si>
    <t xml:space="preserve">Patrocinio y publicidad</t>
  </si>
  <si>
    <t xml:space="preserve">Derechos de retransmisión (LaLiga)</t>
  </si>
  <si>
    <t xml:space="preserve">Actividades comerciales</t>
  </si>
  <si>
    <t xml:space="preserve">Solidaridad y premios UEFA</t>
  </si>
  <si>
    <t xml:space="preserve">Otros ingresos de explotación</t>
  </si>
  <si>
    <t xml:space="preserve">Beneficios por traspasos, cesiones, formación y solidaridad</t>
  </si>
  <si>
    <t xml:space="preserve">Ingresos financieros</t>
  </si>
  <si>
    <t xml:space="preserve">Diferencias de cambio (positivas)</t>
  </si>
  <si>
    <t xml:space="preserve">(a.1) Total ingresos relevantes</t>
  </si>
  <si>
    <t xml:space="preserve">Dif. vs documento — a.1</t>
  </si>
  <si>
    <t xml:space="preserve">(a.2) Total ingresos en estados financieros auditados</t>
  </si>
  <si>
    <t xml:space="preserve">Conciliación: ingresos no monetarios (subvenciones a PyG)</t>
  </si>
  <si>
    <t xml:space="preserve">Conciliación: plusvalías inmovilizado distinto de jugadores</t>
  </si>
  <si>
    <t xml:space="preserve">Dif. (a.1 + conciliación − a.2)</t>
  </si>
  <si>
    <t xml:space="preserve">• Verificado: (a.2) 24/25 = cifra de negocios + otros ingresos + ingresos excepcionales + financieros + dif. cambio positivas + recuperación de deterioros (3.929,99) = 200.591.284,00 € exacto. Traspasos (99,2 M€) = beneficios por traspasos 98,19 + cesiones 1,04 (nota 13).</t>
  </si>
  <si>
    <t xml:space="preserve">25.2.1 B) GASTOS RELEVANTES — p. 47</t>
  </si>
  <si>
    <t xml:space="preserve">Gasto relevante</t>
  </si>
  <si>
    <t xml:space="preserve">Coste de ventas / materiales</t>
  </si>
  <si>
    <t xml:space="preserve">Retribución empleados — jugadores</t>
  </si>
  <si>
    <t xml:space="preserve">Retribución empleados — otros</t>
  </si>
  <si>
    <t xml:space="preserve">Otros gastos de explotación</t>
  </si>
  <si>
    <t xml:space="preserve">Amortización/deterioro de derechos de jugadores</t>
  </si>
  <si>
    <t xml:space="preserve">Pérdidas por traspasos y gastos de cesión/formación</t>
  </si>
  <si>
    <t xml:space="preserve">Amortización adquisición derechos otro personal deportivo</t>
  </si>
  <si>
    <t xml:space="preserve">Otros resultados (negativos)</t>
  </si>
  <si>
    <t xml:space="preserve">Gastos financieros (incl. dif. de cambio negativas)</t>
  </si>
  <si>
    <t xml:space="preserve">(b.1) Total gastos relevantes</t>
  </si>
  <si>
    <t xml:space="preserve">Dif. vs documento — b.1</t>
  </si>
  <si>
    <t xml:space="preserve">(b.2) Total costes y gastos en estados financieros auditados</t>
  </si>
  <si>
    <t xml:space="preserve">Conciliación: amortización y pérdidas inmovilizado material</t>
  </si>
  <si>
    <t xml:space="preserve">Conciliación: amortización intangible distinto de jugadores (estadio, ciudad deportiva)</t>
  </si>
  <si>
    <t xml:space="preserve">Conciliación: impuesto de sociedades</t>
  </si>
  <si>
    <t xml:space="preserve">Inversión relevante: cantera y fútbol base</t>
  </si>
  <si>
    <t xml:space="preserve">Inversión relevante: desarrollo comunitario</t>
  </si>
  <si>
    <t xml:space="preserve">Inversión relevante: fútbol femenino</t>
  </si>
  <si>
    <t xml:space="preserve">Inversión relevante: operaciones no futbolísticas</t>
  </si>
  <si>
    <t xml:space="preserve">(b.4) Total partidas conciliatorias</t>
  </si>
  <si>
    <t xml:space="preserve">Dif. vs documento — b.4</t>
  </si>
  <si>
    <t xml:space="preserve">Dif. (b.1 + b.4 − b.2)</t>
  </si>
  <si>
    <t xml:space="preserve">Chequeo: (a.2) − (b.2) = resultado del ejercicio (PyG)</t>
  </si>
  <si>
    <t xml:space="preserve">• La donación de 2,64 M€ a 'desarrollo comunitario' en 24/25 es la ayuda por la DANA (nota 13.4.4: 2,50 M€ de donaciones).</t>
  </si>
  <si>
    <t xml:space="preserve">• Amortización de jugadores: LaLiga usa 25,56 M€ (igual que la nota 13.2), no los 25,31 de la nota 7. Con 25,56, el total cuadra con la PyG (30,18 M€). La diferencia de 255.833 € estaría mal clasificada en la nota 7 (como material o de otra forma). Pendiente de la nota 5.</t>
  </si>
  <si>
    <t xml:space="preserve">25.2.1 C) PUNTO DE EQUILIBRIO ('resultado del fútbol') — p. 47–48</t>
  </si>
  <si>
    <t xml:space="preserve">CRF.1 Ingresos relevantes</t>
  </si>
  <si>
    <t xml:space="preserve">CRF.5 Gastos relevantes</t>
  </si>
  <si>
    <t xml:space="preserve">CRF.9 / CRF.12 Resultado del fútbol (ingresos − gastos relevantes)</t>
  </si>
  <si>
    <t xml:space="preserve">Dif. vs documento — CRF.9</t>
  </si>
  <si>
    <t xml:space="preserve">CRF.10 Aportaciones realizadas (socios)</t>
  </si>
  <si>
    <t xml:space="preserve">CRF.11 Desviación aceptable</t>
  </si>
  <si>
    <t xml:space="preserve">CRF.13 Superávit / Déficit (documento)</t>
  </si>
  <si>
    <t xml:space="preserve">SUPERÁVIT</t>
  </si>
  <si>
    <t xml:space="preserve">DÉFICIT</t>
  </si>
  <si>
    <t xml:space="preserve">¿Cumple? (déficit menor que la desviación aceptable)</t>
  </si>
  <si>
    <t xml:space="preserve">• Sin los traspasos y cesiones, el 'resultado del fútbol' sería: 24/25 = 31,3 − 99,2 + 4,5 ≈ −63,4 M€; 23/24 = −5,7 − 33,5 + 2,3 ≈ −36,9 M€ (cálculo propio). LaLiga sí cuenta las ventas de jugadores como ingreso.</t>
  </si>
  <si>
    <t xml:space="preserve">• 25.2.2: la opinión del auditor sobre las cuentas 2023/2024 no tiene énfasis, salvedades ni opinión desfavorable sobre empresa en funcionamiento. (El documento dice 2023/2024; para 24/25 hay que mirar el informe de auditoría.)</t>
  </si>
  <si>
    <t xml:space="preserve">25.3 PRESUPUESTO 2025/26 aprobado por LaLiga — p. 48 — EN MILES DE EUROS (comparado con el real 24/25)</t>
  </si>
  <si>
    <t xml:space="preserve">Partida</t>
  </si>
  <si>
    <t xml:space="preserve">Presupuesto 25/26 (miles €)</t>
  </si>
  <si>
    <t xml:space="preserve">Real 24/25 (miles €)</t>
  </si>
  <si>
    <t xml:space="preserve">Presupuesto (M€)</t>
  </si>
  <si>
    <t xml:space="preserve">Real (M€)</t>
  </si>
  <si>
    <t xml:space="preserve">Importe neto de la cifra de negocios</t>
  </si>
  <si>
    <t xml:space="preserve">Aprovisionamientos y variación de existencias</t>
  </si>
  <si>
    <t xml:space="preserve">Gastos de personal no deportivo</t>
  </si>
  <si>
    <t xml:space="preserve">Real: nota 13.2</t>
  </si>
  <si>
    <t xml:space="preserve">Gastos plantilla deportiva (concepto LaLiga, incl. amortización jugadores)</t>
  </si>
  <si>
    <t xml:space="preserve">Real: nota 13.2 (insc. + no insc.)</t>
  </si>
  <si>
    <t xml:space="preserve">No comparable directamente</t>
  </si>
  <si>
    <t xml:space="preserve">Amortizaciones</t>
  </si>
  <si>
    <t xml:space="preserve">Real: PyG (incluye jugadores)</t>
  </si>
  <si>
    <t xml:space="preserve">Imputación de subvenciones</t>
  </si>
  <si>
    <t xml:space="preserve">Exceso de provisiones</t>
  </si>
  <si>
    <t xml:space="preserve">Deterioro y resultado por enajenaciones (ventas de jugadores)</t>
  </si>
  <si>
    <t xml:space="preserve">Otros resultados</t>
  </si>
  <si>
    <t xml:space="preserve">Dif. vs documento — resultado de explotación (doc: 972)</t>
  </si>
  <si>
    <t xml:space="preserve">Total resultado financiero</t>
  </si>
  <si>
    <t xml:space="preserve">Resultado antes de impuestos = Superávit (Déficit)</t>
  </si>
  <si>
    <t xml:space="preserve">• Diferencia de 1 (miles) en el resultado de explotación: redondeo del documento.</t>
  </si>
  <si>
    <t xml:space="preserve">• El presupuesto 25/26 sube la cifra de negocios a 161,4 M€ (+66 M€ sobre 24/25). El documento no explica por qué. Hipótesis externa (no está en las cuentas): clasificación para la Champions League 25/26.</t>
  </si>
  <si>
    <t xml:space="preserve">• PASO 7: este documento trae el presupuesto de 25/26, NO el de 24/25. El de 24/25 estaría en la nota 25.3 de las cuentas de 23/24 (no las tenemos). Aquí se compara el presupuesto 25/26 con el real 24/25 solo como referencia.</t>
  </si>
  <si>
    <t xml:space="preserve">25.4 RATIOS LaLiga para presentar el presupuesto 25/26 (calculados en abr–may 2025 con datos a 30/06/24 y 31/12/24) — pp. 49–50 — EUROS</t>
  </si>
  <si>
    <t xml:space="preserve">• Usan estimaciones, no las cifras finales; por eso algunos datos no coinciden con las cuentas. El texto dice 'EEFF intermedios a 31 de diciembre de 2025'; por el contexto debe ser 2024 (error del documento).</t>
  </si>
  <si>
    <t xml:space="preserve">Ratio A.1 — Patrimonio neto ajustado</t>
  </si>
  <si>
    <t xml:space="preserve">Importe (€)</t>
  </si>
  <si>
    <t xml:space="preserve">M€</t>
  </si>
  <si>
    <t xml:space="preserve">PN total T-2 (30/06/2024)</t>
  </si>
  <si>
    <t xml:space="preserve">Derecho de uso del estadio</t>
  </si>
  <si>
    <t xml:space="preserve">Préstamos con socios/accionistas</t>
  </si>
  <si>
    <t xml:space="preserve">Pérdida/beneficio estimado T-1 (24/25, estimación)</t>
  </si>
  <si>
    <t xml:space="preserve">Pérdida estimada T</t>
  </si>
  <si>
    <t xml:space="preserve">[A] Patrimonio neto ajustado</t>
  </si>
  <si>
    <t xml:space="preserve">Dif. vs documento — A</t>
  </si>
  <si>
    <t xml:space="preserve">¿PN ajustado &gt; 25 M€?</t>
  </si>
  <si>
    <t xml:space="preserve">Ratio A.2 — Pasivo exigible neto T-2</t>
  </si>
  <si>
    <t xml:space="preserve">Cruce con cuentas</t>
  </si>
  <si>
    <t xml:space="preserve">Pasivo total exigible T-2</t>
  </si>
  <si>
    <t xml:space="preserve">(−) Periodificaciones de pasivo</t>
  </si>
  <si>
    <t xml:space="preserve">(−) Pasivos con vencimiento &gt; 5 años</t>
  </si>
  <si>
    <t xml:space="preserve">(−) CRÉDITOS CON CLUBES a 30/06/2024</t>
  </si>
  <si>
    <t xml:space="preserve">(−) Tesorería a 30/06/2024</t>
  </si>
  <si>
    <t xml:space="preserve">(−) Pasivo por impuesto diferido</t>
  </si>
  <si>
    <t xml:space="preserve">(+) Pérdida estimada T-1</t>
  </si>
  <si>
    <t xml:space="preserve">[B] Pasivo exigible neto</t>
  </si>
  <si>
    <t xml:space="preserve">Dif. vs documento — B</t>
  </si>
  <si>
    <t xml:space="preserve">[C] % a aplicar (Primera)</t>
  </si>
  <si>
    <t xml:space="preserve">[D = B × C]</t>
  </si>
  <si>
    <t xml:space="preserve">[A − D] (documento: 31.121.992)</t>
  </si>
  <si>
    <t xml:space="preserve">Ratio B — Pasivo ajustado a 31/12/2024 (vto. ≤ 2 años)</t>
  </si>
  <si>
    <t xml:space="preserve">Pasivo total exigible a 31/12/2024</t>
  </si>
  <si>
    <t xml:space="preserve">(−) Periodificaciones a corto plazo</t>
  </si>
  <si>
    <t xml:space="preserve">(−) Deudas con vencimiento &gt; 31/12/2026</t>
  </si>
  <si>
    <t xml:space="preserve">(−) TESORERÍA a 31/12/2024</t>
  </si>
  <si>
    <t xml:space="preserve">(−) CRÉDITOS CON CLUBES a 31/12/2024</t>
  </si>
  <si>
    <t xml:space="preserve">(+) Pérdida/beneficio estimado T-1</t>
  </si>
  <si>
    <t xml:space="preserve">[E] Pasivo ajustado</t>
  </si>
  <si>
    <t xml:space="preserve">Dif. vs documento — E</t>
  </si>
  <si>
    <t xml:space="preserve">[F] Cifra de negocios de T usada en el cálculo</t>
  </si>
  <si>
    <t xml:space="preserve">[G] Coeficiente (Primera)</t>
  </si>
  <si>
    <t xml:space="preserve">[H = F × G]</t>
  </si>
  <si>
    <t xml:space="preserve">Dif. vs documento — H</t>
  </si>
  <si>
    <t xml:space="preserve">¿E &lt; H?</t>
  </si>
  <si>
    <t xml:space="preserve">• RESPUESTA a 'quién debe': a 30/06/2024 los créditos con clubes eran 72,4 M€ de 83,7 M€ de deudores (≈ 87%). A 31/12/2024 eran 83,7 M€, y la caja 11,9 M€. Para 30/06/2025 el documento no da el dato.</t>
  </si>
  <si>
    <t xml:space="preserve">• Incoherencia: el ratio A usa una pérdida estimada de 24/25 de −29,4 M€ y el ratio B una de 15,6 M€. Al final 24/25 cerró con +13,7 M€ de beneficio.</t>
  </si>
  <si>
    <t xml:space="preserve">• La cifra de negocios usada en el ratio B fue 89,1 M€; luego LaLiga aceptó 161,4 M€ para 25/26. El club cumple en ambos casos.</t>
  </si>
  <si>
    <t xml:space="preserve">25.5 INDICADORES DE TRANSPARENCIA y 25.6 LICENCIA UEFA — p. 51</t>
  </si>
  <si>
    <t xml:space="preserve">Indicador</t>
  </si>
  <si>
    <t xml:space="preserve">Documento</t>
  </si>
  <si>
    <t xml:space="preserve">Cálculo propio</t>
  </si>
  <si>
    <t xml:space="preserve">Fórmula propia</t>
  </si>
  <si>
    <t xml:space="preserve">Autonomía financiera (PN / pasivo + PN)</t>
  </si>
  <si>
    <t xml:space="preserve">PN / total balance</t>
  </si>
  <si>
    <t xml:space="preserve">Relevancia de la primera plantilla (retribución / ingresos)</t>
  </si>
  <si>
    <t xml:space="preserve">Plantilla inscribible sin amortización / ingresos relevantes (mi reconstrucción)</t>
  </si>
  <si>
    <t xml:space="preserve">Inversión en jugadores / ingresos</t>
  </si>
  <si>
    <t xml:space="preserve">Altas 7.2 / cifra de negocios LFP. Con 'ingresos relevantes' daría 31%.</t>
  </si>
  <si>
    <t xml:space="preserve">• Gasto en intermediarios (agentes) por contratación de jugadores: 2.940.686 € en 24/25 y 4.145.129 € en 23/24 (coincide con la web de transparencia).</t>
  </si>
  <si>
    <t xml:space="preserve">25.7 CUENTAS ANALÍTICAS — CANTERA MASCULINA Y FÚTBOL FEMENINO 24/25 — p. 52 — EUROS</t>
  </si>
  <si>
    <t xml:space="preserve">Cantera masculina (€)</t>
  </si>
  <si>
    <t xml:space="preserve">Fútbol femenino (€)</t>
  </si>
  <si>
    <t xml:space="preserve">Cantera (M€)</t>
  </si>
  <si>
    <t xml:space="preserve">Femenino (M€)</t>
  </si>
  <si>
    <t xml:space="preserve">Ingresos por retransmisión</t>
  </si>
  <si>
    <t xml:space="preserve">Ingresos por publicidad</t>
  </si>
  <si>
    <t xml:space="preserve">Dif. vs documento — INCN (doc. cantera 211.407 · femenino 125.866)</t>
  </si>
  <si>
    <t xml:space="preserve">Aprovisionamientos</t>
  </si>
  <si>
    <t xml:space="preserve">Gastos plantilla deportiva</t>
  </si>
  <si>
    <t xml:space="preserve">Deterioro y resultado por enajenaciones</t>
  </si>
  <si>
    <t xml:space="preserve">Dif. vs documento — resultado (doc. −11.458.831 · −460.958)</t>
  </si>
  <si>
    <t xml:space="preserve">• La cantera pierde 11,5 M€ al año y el femenino 0,5 M€ (criterio CSD/RFEF; el propio documento avisa de que no son valoraciones). La amortización de la cantera (1,85 M€) coincide con la amortización de la plantilla no inscribible de la nota 13.2. En 'otros ingresos' de la cantera el documento pone un negativo (−84.054); se copia tal cual.</t>
  </si>
  <si>
    <t xml:space="preserve">LÍMITE DE COSTE DE PLANTILLA (LCPD) 24/25 — EXTERNO oficial: web de transparencia de LaLiga</t>
  </si>
  <si>
    <t xml:space="preserve">LCPD sep-24 (M€)</t>
  </si>
  <si>
    <t xml:space="preserve">LCPD feb-25 (M€)</t>
  </si>
  <si>
    <t xml:space="preserve">Coste plantilla deportiva real 24/25 (M€) — nota 13.2</t>
  </si>
  <si>
    <t xml:space="preserve">% del límite usado</t>
  </si>
  <si>
    <t xml:space="preserve">Margen restante (M€)</t>
  </si>
  <si>
    <t xml:space="preserve">Presupuesto 25/26 plantilla (M€) — nota 25.3</t>
  </si>
  <si>
    <t xml:space="preserve">Lectura: el club gastó prácticamente todo su límite (~99,8%). El presupuesto 25/26 (142,9) implica que LaLiga le subió el límite para 25/26 (con Champions). Dato 25/26 por buscar en la misma web.</t>
  </si>
  <si>
    <t xml:space="preserve">HISTÓRICO LCPD VILLARREAL (miles €) — EXTERNO oficial LaLiga</t>
  </si>
  <si>
    <t xml:space="preserve">Temporada</t>
  </si>
  <si>
    <t xml:space="preserve">Verano</t>
  </si>
  <si>
    <t xml:space="preserve">Invierno</t>
  </si>
  <si>
    <t xml:space="preserve">Var. vs año anterior (invierno)</t>
  </si>
  <si>
    <t xml:space="preserve">20/21</t>
  </si>
  <si>
    <t xml:space="preserve">21/22</t>
  </si>
  <si>
    <t xml:space="preserve">25/26</t>
  </si>
  <si>
    <t xml:space="preserve">Lectura: el límite bajó de 159 M€ (21/22) a 136 M€ (24/25) y subió a 173 M€ en 25/26 (Champions). El presupuesto 25/26 de plantilla (142,9) queda unos 30 M€ por debajo del límite: margen para fichar.</t>
  </si>
  <si>
    <t xml:space="preserve">Nota 28 — Balance y PyG en formato LaLiga (24/25 y 23/24)</t>
  </si>
  <si>
    <t xml:space="preserve">Fuente: 3.a.v-CCAA-Villarreal-24-25-firmado.pdf, Nota 28 (pp. 53–57 del PDF). EUROS redondeados. OJO: en el documento la 1ª columna es 23/24; aquí se reordena a 24/25 primero. El pie de los estados dice 'notas 1 a 27', pero la nota 28 existe.</t>
  </si>
  <si>
    <t xml:space="preserve">Estado de comprobaciones:</t>
  </si>
  <si>
    <t xml:space="preserve">BALANCE — ACTIVO</t>
  </si>
  <si>
    <t xml:space="preserve">Concepto (código LaLiga)</t>
  </si>
  <si>
    <t xml:space="preserve">2031 Derechos de adquisición de jugadores inscribibles (neto)</t>
  </si>
  <si>
    <t xml:space="preserve">2060 Concesiones (estadio y ciudad deportiva)</t>
  </si>
  <si>
    <t xml:space="preserve">2070 Patentes, licencias, marcas</t>
  </si>
  <si>
    <t xml:space="preserve">2100 Otro inmovilizado intangible (opciones de compra de jugadores)</t>
  </si>
  <si>
    <t xml:space="preserve">BAL.1.3 Inmovilizado material</t>
  </si>
  <si>
    <t xml:space="preserve">BAL.1.4 Inversiones inmobiliarias</t>
  </si>
  <si>
    <t xml:space="preserve">BAL.1.5 Inversiones en empresas del grupo LP</t>
  </si>
  <si>
    <t xml:space="preserve">BAL.1.6 Inversiones financieras LP</t>
  </si>
  <si>
    <t xml:space="preserve">BAL.1 ACTIVO NO CORRIENTE</t>
  </si>
  <si>
    <t xml:space="preserve">   dif. vs total del documento</t>
  </si>
  <si>
    <t xml:space="preserve">2310 Existencias</t>
  </si>
  <si>
    <t xml:space="preserve">2320 Abonados y socios por cuotas</t>
  </si>
  <si>
    <t xml:space="preserve">2330 ENTIDADES DEPORTIVAS DEUDORAS POR TRASPASOS / CESIONES</t>
  </si>
  <si>
    <t xml:space="preserve">2350 Deudores varios</t>
  </si>
  <si>
    <t xml:space="preserve">2360 Personal deportivo</t>
  </si>
  <si>
    <t xml:space="preserve">2370 Personal no deportivo</t>
  </si>
  <si>
    <t xml:space="preserve">2380 Activos por impuesto corriente</t>
  </si>
  <si>
    <t xml:space="preserve">2510 Periodificaciones a corto plazo</t>
  </si>
  <si>
    <t xml:space="preserve">2520 Tesorería</t>
  </si>
  <si>
    <t xml:space="preserve">BAL.2 ACTIVO CORRIENTE</t>
  </si>
  <si>
    <t xml:space="preserve">BAL.3 TOTAL ACTIVO</t>
  </si>
  <si>
    <t xml:space="preserve">BALANCE — PATRIMONIO NETO Y PASIVO</t>
  </si>
  <si>
    <t xml:space="preserve">2540 Capital</t>
  </si>
  <si>
    <t xml:space="preserve">2560 Reserva legal y estatutarias (incluye reserva de capitalización)</t>
  </si>
  <si>
    <t xml:space="preserve">2570 Otras reservas</t>
  </si>
  <si>
    <t xml:space="preserve">2580 Resultados de ejercicios anteriores</t>
  </si>
  <si>
    <t xml:space="preserve">2590 Otras aportaciones de socios</t>
  </si>
  <si>
    <t xml:space="preserve">2600 Resultado del ejercicio</t>
  </si>
  <si>
    <t xml:space="preserve">2660 Subvenciones, donaciones y legados</t>
  </si>
  <si>
    <t xml:space="preserve">BAL.4 PATRIMONIO NETO</t>
  </si>
  <si>
    <t xml:space="preserve">2700 Otras provisiones LP</t>
  </si>
  <si>
    <t xml:space="preserve">2720 DEUDAS CON CLUBES / SADs POR TRASPASOS (LP)</t>
  </si>
  <si>
    <t xml:space="preserve">2750 Personal deportivo LP</t>
  </si>
  <si>
    <t xml:space="preserve">2800 Otros pasivos financieros LP (préstamo LaLiga + otros)</t>
  </si>
  <si>
    <t xml:space="preserve">2820 Pasivo por impuesto diferido</t>
  </si>
  <si>
    <t xml:space="preserve">BAL.5 PASIVO NO CORRIENTE</t>
  </si>
  <si>
    <t xml:space="preserve">2860 Deudas con entidades de crédito CP</t>
  </si>
  <si>
    <t xml:space="preserve">2910 Otros pasivos financieros CP</t>
  </si>
  <si>
    <t xml:space="preserve">2930 Acreedores</t>
  </si>
  <si>
    <t xml:space="preserve">2940 DEUDAS CON ENTIDADES DEPORTIVAS (CP)</t>
  </si>
  <si>
    <t xml:space="preserve">2950 Personal deportivo</t>
  </si>
  <si>
    <t xml:space="preserve">2960 Personal no deportivo</t>
  </si>
  <si>
    <t xml:space="preserve">2990 Administraciones Públicas</t>
  </si>
  <si>
    <t xml:space="preserve">3000 Periodificaciones CP</t>
  </si>
  <si>
    <t xml:space="preserve">BAL.6 PASIVO CORRIENTE</t>
  </si>
  <si>
    <t xml:space="preserve">BAL.7 TOTAL PATRIMONIO NETO Y PASIVO</t>
  </si>
  <si>
    <t xml:space="preserve">Cruce: total activo LaLiga − balance oficial (€)</t>
  </si>
  <si>
    <t xml:space="preserve">POSICIÓN CON OTROS CLUBES (respuesta a 'quién debe')</t>
  </si>
  <si>
    <t xml:space="preserve">Le deben clubes (traspasos/cesiones)</t>
  </si>
  <si>
    <t xml:space="preserve">Debe a clubes — largo plazo</t>
  </si>
  <si>
    <t xml:space="preserve">Debe a clubes — corto plazo</t>
  </si>
  <si>
    <t xml:space="preserve">POSICIÓN NETA CON CLUBES (a favor del Villarreal)</t>
  </si>
  <si>
    <t xml:space="preserve">% de los deudores que son clubes</t>
  </si>
  <si>
    <t xml:space="preserve">PyG FORMATO LaLiga</t>
  </si>
  <si>
    <t xml:space="preserve">PL.1 Importe neto de la cifra de negocios (= nota 13.1)</t>
  </si>
  <si>
    <t xml:space="preserve">1160 Consumo de material deportivo</t>
  </si>
  <si>
    <t xml:space="preserve">1170 Otros consumos</t>
  </si>
  <si>
    <t xml:space="preserve">1180 Variación de existencias</t>
  </si>
  <si>
    <t xml:space="preserve">PL.2 Aprovisionamientos</t>
  </si>
  <si>
    <t xml:space="preserve">1200 Ingresos LaLiga</t>
  </si>
  <si>
    <t xml:space="preserve">1210 Subvenciones a la explotación y otros</t>
  </si>
  <si>
    <t xml:space="preserve">1230 Cesiones (neto)</t>
  </si>
  <si>
    <t xml:space="preserve">1240 Otros</t>
  </si>
  <si>
    <t xml:space="preserve">PL.3 Otros ingresos</t>
  </si>
  <si>
    <t xml:space="preserve">PL.4 Gastos de personal no deportivo (= nota 13.2)</t>
  </si>
  <si>
    <t xml:space="preserve">1310 Sueldos plantilla inscribible</t>
  </si>
  <si>
    <t xml:space="preserve">1320 Indemnizaciones plantilla inscribible</t>
  </si>
  <si>
    <t xml:space="preserve">1330 Seguridad Social plantilla inscribible</t>
  </si>
  <si>
    <t xml:space="preserve">1340 Derechos de imagen a sociedades</t>
  </si>
  <si>
    <t xml:space="preserve">1350 Primas colectivas plantilla inscribible</t>
  </si>
  <si>
    <t xml:space="preserve">1370 Sueldos plantilla no inscribible</t>
  </si>
  <si>
    <t xml:space="preserve">1380 Indemnizaciones no inscribible</t>
  </si>
  <si>
    <t xml:space="preserve">1390 Seguridad Social no inscribible</t>
  </si>
  <si>
    <t xml:space="preserve">1410 Primas colectivas no inscribible</t>
  </si>
  <si>
    <t xml:space="preserve">PL.5 Gastos plantilla deportiva</t>
  </si>
  <si>
    <t xml:space="preserve">1430 Servicios exteriores</t>
  </si>
  <si>
    <t xml:space="preserve">1440 Tributos</t>
  </si>
  <si>
    <t xml:space="preserve">1450 Pérdidas por operaciones comerciales</t>
  </si>
  <si>
    <t xml:space="preserve">1460 Desplazamientos</t>
  </si>
  <si>
    <t xml:space="preserve">1470 Otros gastos de gestión corriente</t>
  </si>
  <si>
    <t xml:space="preserve">1480 Gastos adquisición jugadores inscribibles</t>
  </si>
  <si>
    <t xml:space="preserve">1490 Gastos adquisición jugadores no inscribibles</t>
  </si>
  <si>
    <t xml:space="preserve">PL.6 Otros gastos de explotación</t>
  </si>
  <si>
    <t xml:space="preserve">1510 Amortización inmovilizado material</t>
  </si>
  <si>
    <t xml:space="preserve">1520 Amortización inmaterial (excluido jugadores)</t>
  </si>
  <si>
    <t xml:space="preserve">1530 Amortización jugadores inscribibles</t>
  </si>
  <si>
    <t xml:space="preserve">1540 Amortización jugadores no inscribibles</t>
  </si>
  <si>
    <t xml:space="preserve">PL.7 Amortizaciones</t>
  </si>
  <si>
    <t xml:space="preserve">PL.8 Imputación de subvenciones de capital</t>
  </si>
  <si>
    <t xml:space="preserve">PL.10.1 Beneficios por traspaso de jugadores</t>
  </si>
  <si>
    <t xml:space="preserve">PL.10.2 Pérdidas por traspaso de jugadores</t>
  </si>
  <si>
    <t xml:space="preserve">PL.10 Resultado por traspasos (neto)</t>
  </si>
  <si>
    <t xml:space="preserve">PL.11 Otros resultados</t>
  </si>
  <si>
    <t xml:space="preserve">PL.12 RESULTADO DE EXPLOTACIÓN</t>
  </si>
  <si>
    <t xml:space="preserve">PL.13 Ingresos financieros (incl. dif. cambio +)</t>
  </si>
  <si>
    <t xml:space="preserve">PL.14 Gastos financieros (incl. dif. cambio −)</t>
  </si>
  <si>
    <t xml:space="preserve">PL.17 RESULTADO ANTES DE IMPUESTOS</t>
  </si>
  <si>
    <t xml:space="preserve">PL.18 Impuesto sobre beneficios</t>
  </si>
  <si>
    <t xml:space="preserve">PL.19 RESULTADO DEL EJERCICIO</t>
  </si>
  <si>
    <t xml:space="preserve">Cruce: resultado LaLiga − PyG oficial (€)</t>
  </si>
  <si>
    <t xml:space="preserve">QUÉ APORTA ESTA NOTA (verificado)</t>
  </si>
  <si>
    <t xml:space="preserve">• CLUBES DEBEN AL VILLARREAL 127,5 M€ a 30/06/2025 (72,4 en 2024): el 93% de los deudores. Solo 9,0 M€ son 'deudores varios'.</t>
  </si>
  <si>
    <t xml:space="preserve">• El Villarreal DEBE a clubes 47,7 M€ (18,3 a LP + 29,4 a CP). Posición neta a favor: +79,8 M€ (+44,9 en 23/24).</t>
  </si>
  <si>
    <t xml:space="preserve">• CONFIRMADA la hipótesis: de los 24,2 M€ de 'acreedores comerciales LP' (nota 9), 18,3 M€ son clubes por fichajes aplazados. Los otros 5,95 M€ LaLiga los pone en 'otros pasivos financieros'.</t>
  </si>
  <si>
    <t xml:space="preserve">• Derechos de imagen: LaLiga los incluye en el gasto de plantilla (1,07 M€); la PyG oficial los deja fuera de 'gastos de personal'.</t>
  </si>
  <si>
    <t xml:space="preserve">• Amortización 24/25: material 2,27 M€ y jugadores 25,56 M€ (= nota 13.2 y 25). Cuadra con el total de la PyG. La tabla de la nota 7 muestra 25,31 en jugadores: parte se presentaría en otra línea de esa tabla (no se puede confirmar).</t>
  </si>
  <si>
    <t xml:space="preserve">• La PyG LaLiga netea gastos e ingresos de cesiones (+3.750 €), mete el deterioro de instrumentos financieros en 'otros resultados' y separa las subvenciones de capital. Por eso el resultado de explotación es 19,26 M€ en vez de 19,28 M€; el resultado final es idéntico.</t>
  </si>
  <si>
    <t xml:space="preserve">• Deuda bancaria: 18.341 € a CP (27.463 en 23/24). La nota 9 decía 0 — importe insignificante (posible saldo de tarjetas/cuentas), pero no es exactamente cero.</t>
  </si>
  <si>
    <t xml:space="preserve">• Derechos de imagen 23/24: aquí 973.500 €, en la nota 13.2 975.500 € (2.000 € de diferencia; error menor del documento).</t>
  </si>
  <si>
    <t xml:space="preserve">• La 'reserva legal' de LaLiga (4,27 M€) = legal 3,30 + capitalización 0,97 del balance oficial (reclasificación, cuadra).</t>
  </si>
  <si>
    <t xml:space="preserve">Paso 8 — Informe de auditoría 2024/25</t>
  </si>
  <si>
    <t xml:space="preserve">Fuente: informe de auditoría (PDF aparte enviado por el usuario, 6 páginas; 3.a.v-CCAA-Villarreal-24-25-firmado-auditoria.pdf). Página dentro del PDF completo: por confirmar.</t>
  </si>
  <si>
    <t xml:space="preserve">DATOS</t>
  </si>
  <si>
    <t xml:space="preserve">Auditor</t>
  </si>
  <si>
    <t xml:space="preserve">BETEA ESPAÑA AUDITORES, S.L.P. (ROAC S0446), Valencia. Firma: Ana Martí Brotons (ROAC 23.936). p. 6</t>
  </si>
  <si>
    <t xml:space="preserve">Fecha del informe</t>
  </si>
  <si>
    <t xml:space="preserve">30/09/2025 (cuentas formuladas el 22/09/2025, según la firma de la PyG). p. 6</t>
  </si>
  <si>
    <t xml:space="preserve">Honorarios</t>
  </si>
  <si>
    <t xml:space="preserve">29.724,41 € cobrados en 24/25 (nota 25.1, p. 46).</t>
  </si>
  <si>
    <t xml:space="preserve">PASO 8 — LAS TRES PREGUNTAS</t>
  </si>
  <si>
    <t xml:space="preserve">Tipo de opinión</t>
  </si>
  <si>
    <t xml:space="preserve">FAVORABLE (sin salvedades): las cuentas expresan 'en todos los aspectos significativos, la imagen fiel'. p. 1</t>
  </si>
  <si>
    <t xml:space="preserve">¿Párrafo de énfasis?</t>
  </si>
  <si>
    <t xml:space="preserve">NO. Tampoco hay sección de 'incertidumbre material relacionada con la empresa en funcionamiento' ni 'otras cuestiones'.</t>
  </si>
  <si>
    <t xml:space="preserve">Aspecto relevante 1</t>
  </si>
  <si>
    <t xml:space="preserve">Valoración de los derechos de traspaso de jugadores (inmovilizado intangible, 67,38 M€): es difícil detectar deterioros porque el valor depende del mercado de fichajes y del rendimiento de cada jugador. Revisaron contratos, activación, amortización y posibles deterioros. pp. 2</t>
  </si>
  <si>
    <t xml:space="preserve">Aspecto relevante 2</t>
  </si>
  <si>
    <t xml:space="preserve">Reconocimiento de ingresos: competiciones, TV, publicidad y patrocinio = 93,68% de la cifra de negocios. Revisaron recaudación de una muestra de partidos, premios UEFA, el calendario de los derechos de TV contra los saldos a cobrar, y una muestra de contratos de patrocinio. pp. 2–3</t>
  </si>
  <si>
    <t xml:space="preserve">Concuerda con las cuentas y cumple la normativa (el auditor no lo audita, solo comprueba coherencia). p. 3</t>
  </si>
  <si>
    <t xml:space="preserve">Independencia</t>
  </si>
  <si>
    <t xml:space="preserve">Declara no haber prestado servicios distintos de la auditoría. p. 1</t>
  </si>
  <si>
    <t xml:space="preserve">VERIFICACIONES PROPIAS</t>
  </si>
  <si>
    <t xml:space="preserve">93,68%</t>
  </si>
  <si>
    <t xml:space="preserve">Cálculo propio: (competiciones 1,44 + TV 59,85 + publicidad 28,12) / cifra de negocios PyG 95,44 = 93,69%. CUADRA (redondeo).</t>
  </si>
  <si>
    <t xml:space="preserve">'67,38 miles de euros'</t>
  </si>
  <si>
    <t xml:space="preserve">ERROR DEL INFORME: el saldo es 67.385.032,02 € = 67,38 MILLONES (o 67.385 miles). Ver hoja Nota7.</t>
  </si>
  <si>
    <t xml:space="preserve">Independencia vs nota 25.1</t>
  </si>
  <si>
    <t xml:space="preserve">La nota 25.1 dice que los honorarios incluyen 'procedimientos acordados para diferentes organismos'. Suelen considerarse servicios relacionados con la auditoría; no es necesariamente una contradicción, pero conviene saberlo.</t>
  </si>
  <si>
    <t xml:space="preserve">LECTURA DE PRESIDENTE (opinión propia, no del auditor)</t>
  </si>
  <si>
    <t xml:space="preserve">Qué NO menciona</t>
  </si>
  <si>
    <t xml:space="preserve">No hay aspecto relevante sobre: los 136,5 M€ por cobrar (cobro de traspasos), el préstamo LaLiga/CVC (108,6 M€), las operaciones con empresas del accionista (13,8 M€ de ingresos) ni las incoherencias que encontramos (amortización 255.833 €, tabla de vencimientos 23/24, signos en el flujo). Son pequeñas o no materiales para el auditor.</t>
  </si>
  <si>
    <t xml:space="preserve">Conclusión</t>
  </si>
  <si>
    <t xml:space="preserve">Cuentas 'limpias': opinión favorable, sin énfasis ni dudas sobre la continuidad. El riesgo que destaca el auditor es el mismo que vimos: el valor del club depende de sus jugadores y de venderlos.</t>
  </si>
  <si>
    <t xml:space="preserve">Informe de gestión 24/25 y EINF (Estado de Información No Financiera)</t>
  </si>
  <si>
    <t xml:space="preserve">Fuentes: 3.a.v-CCAA-Villarreal-24-25-firmado-informe-de-gestion.pdf (6 pp.; IG pp. 1–3, verificación del EINF pp. 4–6) y ESTADOS_DE_INFORMACIÓN_NO_FINANCIERA_DEL_VILLARREAL_CF_2024-25.pdf (52 pp.).</t>
  </si>
  <si>
    <t xml:space="preserve">INFORME DE GESTIÓN — lo que dice la dirección</t>
  </si>
  <si>
    <t xml:space="preserve">Deportivo</t>
  </si>
  <si>
    <t xml:space="preserve">5º en Liga 24/25 → jugará la UEFA Champions League 25/26 (IG p. 1). CONFIRMA la hipótesis del presupuesto 25/26 (161,4 M€).</t>
  </si>
  <si>
    <t xml:space="preserve">Estrategia</t>
  </si>
  <si>
    <t xml:space="preserve">Objetivo: "cuenta de resultados plana, sin beneficios ni pérdidas". El beneficio de 13,7 M€ fue "por encima de lo previsto" y compensa la pérdida de 23/24 (IG p. 1).</t>
  </si>
  <si>
    <t xml:space="preserve">Liquidez</t>
  </si>
  <si>
    <t xml:space="preserve">Caja 17,6 M€ y fondo de maniobra 51,3 M€ (37,5 en 23/24). VERIFICADO: activo corriente − pasivo corriente = 155,47 − 104,19 = 51,29 M€ (23/24: 37,54).</t>
  </si>
  <si>
    <t xml:space="preserve">Plan Impulso (CVC)</t>
  </si>
  <si>
    <t xml:space="preserve">"Durante el presente ejercicio el club ha recibido el último plazo" del préstamo, aplicado "principalmente a la obra de reforma del estadio" (IG p. 1). OJO: aun así el saldo de "otras deudas" bajó 2,9 M€ en el año (hoja Nota9). El documento no aclara cuánto fue ese último plazo.</t>
  </si>
  <si>
    <t xml:space="preserve">Cantera</t>
  </si>
  <si>
    <t xml:space="preserve">~532 jugadores en 32 equipos; ciudad deportiva, residencia y mini-estadi "completamente pagadas" (IG pp. 1–2).</t>
  </si>
  <si>
    <t xml:space="preserve">Plan 25/26</t>
  </si>
  <si>
    <t xml:space="preserve">"Esfuerzo económico importante" en la plantilla para Liga, Copa y Champions, financiado con recursos ordinarios, resultados deportivos y "sobre todo" venta de jugadores. Si hay pérdidas, "serán encajadas por el patrimonio neto" (IG p. 2).</t>
  </si>
  <si>
    <t xml:space="preserve">Accionistas</t>
  </si>
  <si>
    <t xml:space="preserve">Sin autocartera y sin cambios en el accionariado (IG p. 3).</t>
  </si>
  <si>
    <t xml:space="preserve">Reparto del beneficio</t>
  </si>
  <si>
    <t xml:space="preserve">Propuesta: 1.371.124,86 € a reserva legal (10%) y 12.340.123,70 € a reserva voluntaria. Las pérdidas de 23/24 (−14,1 M€) siguen como "resultados negativos de ejercicios anteriores" (IG p. 3).</t>
  </si>
  <si>
    <t xml:space="preserve">Pamesa / abonados</t>
  </si>
  <si>
    <t xml:space="preserve">El IG NO menciona el patrocinio de Pamesa ni el número de abonados.</t>
  </si>
  <si>
    <t xml:space="preserve">EINF — datos útiles</t>
  </si>
  <si>
    <t xml:space="preserve">Afición (p. 10)</t>
  </si>
  <si>
    <t xml:space="preserve">Abonados 19.773 (23/24: 19.753) · Socios 404 · Peñas 36 (40) · Aforo 21.332.</t>
  </si>
  <si>
    <t xml:space="preserve">Estadio (p. 7)</t>
  </si>
  <si>
    <t xml:space="preserve">"De propiedad municipal y con capacidad para 21.332 espectadores". Ciudad Deportiva Pamesa (nombre) en Camí Morvedre.</t>
  </si>
  <si>
    <t xml:space="preserve">Accionista (p. 7)</t>
  </si>
  <si>
    <t xml:space="preserve">Nomar Patrimonial, SLU, "con intereses principalmente en el sector de la cerámica". "Los accionistas no requieren de la sociedad una rentabilidad financiera." Objetivo: Primera División y competiciones UEFA con regularidad.</t>
  </si>
  <si>
    <t xml:space="preserve">Gobierno (p. ~44)</t>
  </si>
  <si>
    <t xml:space="preserve">Presidente: Fernando Roig Alfonso. Consejero delegado: Fernando Roig Negueroles. Vocal: Elena Roig Negueroles.</t>
  </si>
  <si>
    <t xml:space="preserve">DANA (p. 26)</t>
  </si>
  <si>
    <t xml:space="preserve">Donaciones totales 2.544.000 €: 0,5 M€ a Cáritas y Cruz Roja, &gt;2 M€ al programa "Alcem-se Esport" y ayudas a abonados, personal y canteranos. (Nota 13.4.4: 2.501.400 € de donaciones.)</t>
  </si>
  <si>
    <t xml:space="preserve">Subvenciones (p. 49)</t>
  </si>
  <si>
    <t xml:space="preserve">151 miles recibidos en 24/25 de Sepfsau (entidad vinculada a LaLiga).</t>
  </si>
  <si>
    <t xml:space="preserve">Impuestos pagados/recaudados (p. 48)</t>
  </si>
  <si>
    <t xml:space="preserve">Contribución fiscal total 97,2 M€ (73,0 en 23/24): IRPF 42,6 · IVA repercutido 51,0 · Seguridad Social 3,6. Incluye impuestos que el club recauda por cuenta de otros (IRPF de jugadores, IVA).</t>
  </si>
  <si>
    <t xml:space="preserve">Verificación EINF</t>
  </si>
  <si>
    <t xml:space="preserve">BETEA, seguridad LIMITADA (menos que una auditoría), conclusión sin incidencias (IG pp. 4–6).</t>
  </si>
  <si>
    <t xml:space="preserve">Pamesa</t>
  </si>
  <si>
    <t xml:space="preserve">El EINF tampoco explica el importe del patrocinio de Pamesa. Sigue abierto.</t>
  </si>
  <si>
    <t xml:space="preserve">Pasos 5 y 6 — Estadio y afición 2024/25</t>
  </si>
  <si>
    <t xml:space="preserve">Naranja = ESTIMACIÓN EXTERNA (no está en las cuentas). Azul = dato de las cuentas. Negro = fórmula.</t>
  </si>
  <si>
    <t xml:space="preserve">DATOS DE ENTRADA</t>
  </si>
  <si>
    <t xml:space="preserve">Abonados 24/25 (oficial)</t>
  </si>
  <si>
    <t xml:space="preserve">EINF 2024/25 (Estado de Información No Financiera), p. 10. 23/24: 19.753. Socios: 404. Peñas: 36 (40). Antes: ~19.000 (internet).</t>
  </si>
  <si>
    <t xml:space="preserve">Aforo del Estadio de la Cerámica (oficial)</t>
  </si>
  <si>
    <t xml:space="preserve">EINF 2024/25, pp. 7 y 10: 21.332 espectadores. Fuentes externas daban 23.500 (Transfermarkt) y 22.000 (The Stadium Business 2023).</t>
  </si>
  <si>
    <t xml:space="preserve">Asistencia media en Liga 24/25</t>
  </si>
  <si>
    <t xml:space="preserve">EXTERNO: Transfermarkt 18.266 (Wikipedia 18.267).</t>
  </si>
  <si>
    <t xml:space="preserve">Partidos de Liga en casa</t>
  </si>
  <si>
    <t xml:space="preserve">Formato de LaLiga (20 equipos → 19 partidos en casa).</t>
  </si>
  <si>
    <t xml:space="preserve">Ingresos por abonados y socios 24/25 (€)</t>
  </si>
  <si>
    <t xml:space="preserve">Ingresos por competición — Liga (taquilla) 24/25 (€)</t>
  </si>
  <si>
    <t xml:space="preserve">Venta de entradas según LaLiga (abonos + taquillas) 24/25 (€)</t>
  </si>
  <si>
    <t xml:space="preserve">Nota 25.2.1, p. 46–47</t>
  </si>
  <si>
    <t xml:space="preserve">PASO 6 — INDICADORES (dependen de los datos externos)</t>
  </si>
  <si>
    <t xml:space="preserve">Ocupación media en Liga</t>
  </si>
  <si>
    <t xml:space="preserve">Asistencia media / aforo</t>
  </si>
  <si>
    <t xml:space="preserve">Abonados / aforo</t>
  </si>
  <si>
    <t xml:space="preserve">Ingreso por abonado y temporada (€)</t>
  </si>
  <si>
    <t xml:space="preserve">Ingresos abonados / nº abonados</t>
  </si>
  <si>
    <t xml:space="preserve">   equivale a € por partido de Liga</t>
  </si>
  <si>
    <t xml:space="preserve">Ingreso de día de partido por partido de Liga (€)</t>
  </si>
  <si>
    <t xml:space="preserve">(Abonados + taquilla de Liga) / 19. No incluye bares, tienda ni VIP fuera de estas partidas.</t>
  </si>
  <si>
    <t xml:space="preserve">Ingreso por espectador y partido (€)</t>
  </si>
  <si>
    <t xml:space="preserve">Día de partido (abonados + taquillas) / cifra de negocios LFP</t>
  </si>
  <si>
    <t xml:space="preserve">Usa la 'venta de entradas' de LaLiga</t>
  </si>
  <si>
    <t xml:space="preserve">Lectura (datos oficiales): aforo 21.332, 19.773 abonados = 93% del estadio. Ocupación media en Liga ~86%. Cada abonado deja ~273 €/año (~14 €/partido), algo menos que en 23/24. El día de partido es ~7% de los ingresos.</t>
  </si>
  <si>
    <t xml:space="preserve">PASO 5 — ESTADIO DE LA CERÁMICA</t>
  </si>
  <si>
    <t xml:space="preserve">Propiedad</t>
  </si>
  <si>
    <t xml:space="preserve">Ayuntamiento de Villarreal. Uso cedido al club por convenio del 17/03/2008, 25 años ampliable a 50. (Nota 7.3, p. 30)</t>
  </si>
  <si>
    <t xml:space="preserve">Reforma</t>
  </si>
  <si>
    <t xml:space="preserve">Completada en 23/24. 'Será financiada con el préstamo participativo suscrito con La Liga'. (Nota 7.1, p. 27)</t>
  </si>
  <si>
    <t xml:space="preserve">Cómo se registra</t>
  </si>
  <si>
    <t xml:space="preserve">Como intangible 'Derechos sobre inversión en instalaciones cedidas' (incluye también la ciudad deportiva): bruto 105,0 M€ a 01/07/2023 → 110,5 M€ a 30/06/2025; valor neto 72,4 M€. (Nota 7, p. 27)</t>
  </si>
  <si>
    <t xml:space="preserve">Inversión registrada</t>
  </si>
  <si>
    <t xml:space="preserve">Altas en instalaciones cedidas: 3,88 M€ en 23/24 y 1,62 M€ en 24/25. El grueso de la obra se registró antes de 23/24 (no tenemos esas cuentas).</t>
  </si>
  <si>
    <t xml:space="preserve">Financiación</t>
  </si>
  <si>
    <t xml:space="preserve">Préstamo participativo LaLiga / CVC (Plan Impulso): 108,6 M€ pendientes; coste = 1,52% de los ingresos de TV; plazo hasta 2072. (Nota 9, pp. 33–34). No hay deuda bancaria.</t>
  </si>
  <si>
    <t xml:space="preserve">Coste de la reforma</t>
  </si>
  <si>
    <t xml:space="preserve">EXTERNO: The Stadium Business (04/01/2023): presupuesto inicial 35 M€, que 'ha crecido a 50 M€'. No confirmado en las cuentas.</t>
  </si>
  <si>
    <t xml:space="preserve">Amortización anual</t>
  </si>
  <si>
    <t xml:space="preserve">2,34 M€ en 24/25 (estadio + ciudad deportiva + patentes; nota 25.2.1, p. 47).</t>
  </si>
  <si>
    <t xml:space="preserve">Ciudad deportiva</t>
  </si>
  <si>
    <t xml:space="preserve">Terrenos del Ayuntamiento en concesión gratuita (27/04/2015, 75 años). En uso desde 15/16. (Nota 7.3, p. 30)</t>
  </si>
  <si>
    <t xml:space="preserve">ASISTENCIA EN LIGA POR TEMPORADA — EXTERNO: Transfermarkt (copiado por el usuario el 10/10/2026)</t>
  </si>
  <si>
    <t xml:space="preserve">Partidos en casa</t>
  </si>
  <si>
    <t xml:space="preserve">Llenos</t>
  </si>
  <si>
    <t xml:space="preserve">Espectadores</t>
  </si>
  <si>
    <t xml:space="preserve">Promedio (TM)</t>
  </si>
  <si>
    <t xml:space="preserve">Promedio calculado</t>
  </si>
  <si>
    <t xml:space="preserve">Ocupación (aforo 23.500)</t>
  </si>
  <si>
    <t xml:space="preserve">Ocupación (aforo oficial 21.332)</t>
  </si>
  <si>
    <t xml:space="preserve">Posibles restricciones de aforo post-COVID al inicio (no verificado).</t>
  </si>
  <si>
    <t xml:space="preserve">Parte de la temporada en el Ciutat de València por las obras: no comparable.</t>
  </si>
  <si>
    <t xml:space="preserve">Wikipedia: 18.267 → coincide.</t>
  </si>
  <si>
    <t xml:space="preserve">26/27 (en curso)</t>
  </si>
  <si>
    <t xml:space="preserve">Solo 3 partidos.</t>
  </si>
  <si>
    <t xml:space="preserve">Ningún lleno en 5 temporadas según Transfermarkt.</t>
  </si>
  <si>
    <t xml:space="preserve">INGRESO POR ESPECTADOR (cuentas ÷ espectadores de Transfermarkt)</t>
  </si>
  <si>
    <t xml:space="preserve">Var.</t>
  </si>
  <si>
    <t xml:space="preserve">Abonados + taquilla de Liga (€) — nota 13.1</t>
  </si>
  <si>
    <t xml:space="preserve">Espectadores de Liga (TM)</t>
  </si>
  <si>
    <t xml:space="preserve">Ingreso por espectador (€)</t>
  </si>
  <si>
    <t xml:space="preserve">Más gente (+1,7%) pero menos ingreso de abonos y taquilla (−3,2%): baja el ingreso por espectador. Los datos no explican por qué (¿precios, descuentos, mezcla de abonos?).</t>
  </si>
  <si>
    <t xml:space="preserve">INGRESO POR ABONADO (datos oficiales)</t>
  </si>
  <si>
    <t xml:space="preserve">Ingresos abonados y socios (€) — nota 13.1</t>
  </si>
  <si>
    <t xml:space="preserve">Abonados — EINF p. 10</t>
  </si>
  <si>
    <t xml:space="preserve">Ingreso por abonado (€) — 24/25 · 23/24</t>
  </si>
  <si>
    <t xml:space="preserve">ASISTENCIA HISTÓRICA EN LIGA (temporadas anteriores a 21/22) — EXTERNO: Transfermarkt (archivo del usuario, 11/10/2026)</t>
  </si>
  <si>
    <t xml:space="preserve">Competición</t>
  </si>
  <si>
    <t xml:space="preserve">Partidos con dato (espect./promedio)</t>
  </si>
  <si>
    <t xml:space="preserve">LaLiga</t>
  </si>
  <si>
    <t xml:space="preserve">COVID: casi todo a puerta cerrada.</t>
  </si>
  <si>
    <t xml:space="preserve">19/20</t>
  </si>
  <si>
    <t xml:space="preserve">COVID: final sin público.</t>
  </si>
  <si>
    <t xml:space="preserve">18/19</t>
  </si>
  <si>
    <t xml:space="preserve">17/18</t>
  </si>
  <si>
    <t xml:space="preserve">16/17</t>
  </si>
  <si>
    <t xml:space="preserve">15/16</t>
  </si>
  <si>
    <t xml:space="preserve">14/15</t>
  </si>
  <si>
    <t xml:space="preserve">13/14</t>
  </si>
  <si>
    <t xml:space="preserve">12/13</t>
  </si>
  <si>
    <t xml:space="preserve">Segunda División</t>
  </si>
  <si>
    <t xml:space="preserve">Segunda División.</t>
  </si>
  <si>
    <t xml:space="preserve">11/12</t>
  </si>
  <si>
    <t xml:space="preserve">10/11</t>
  </si>
  <si>
    <t xml:space="preserve">09/10</t>
  </si>
  <si>
    <t xml:space="preserve">08/09</t>
  </si>
  <si>
    <t xml:space="preserve">07/08</t>
  </si>
  <si>
    <t xml:space="preserve">06/07</t>
  </si>
  <si>
    <t xml:space="preserve">Récord: 21.368 de media y 3 llenos.</t>
  </si>
  <si>
    <t xml:space="preserve">05/06</t>
  </si>
  <si>
    <t xml:space="preserve">04/05</t>
  </si>
  <si>
    <t xml:space="preserve">03/04</t>
  </si>
  <si>
    <t xml:space="preserve">Dato incompleto.</t>
  </si>
  <si>
    <t xml:space="preserve">02/03</t>
  </si>
  <si>
    <t xml:space="preserve">01/02</t>
  </si>
  <si>
    <t xml:space="preserve">00/01</t>
  </si>
  <si>
    <t xml:space="preserve">99/00</t>
  </si>
  <si>
    <t xml:space="preserve">Segunda; dato incompleto.</t>
  </si>
  <si>
    <t xml:space="preserve">98/99</t>
  </si>
  <si>
    <t xml:space="preserve">Lectura: en temporadas completas de Primera (04/05–18/19) la media va de 15.906 (14/15) a 21.368 (06/07, récord). La de 24/25 (18.266) está en la zona media-alta. Ojo: en 06/07 la media superó el aforo oficial actual (21.332), así que el aforo ha cambiado con las obras y las ocupaciones antiguas no se pueden comparar directamente. Estadio (Transfermarkt): dueño = Ayuntamiento de Villarreal, coincide con la nota 7.3.</t>
  </si>
  <si>
    <t xml:space="preserve">Ventas de jugadores: Transfermarkt vs. cuentas (ajuste por fecha de cierre 30/06)</t>
  </si>
  <si>
    <t xml:space="preserve">ESTIMACIÓN EXTERNA: Transfermarkt (datos copiados por el usuario el 10/10/2026). Importes estimados por prensa; pueden incluir variables y no descuentan agentes.</t>
  </si>
  <si>
    <t xml:space="preserve">Clave: Transfermarkt agrupa por VENTANA de mercado (verano + invierno). Las cuentas agrupan por EJERCICIO (1 jul – 30 jun). Una venta firmada en junio cae en el ejercicio que cierra ese 30 de junio.</t>
  </si>
  <si>
    <t xml:space="preserve">TM: suma salidas (M€)</t>
  </si>
  <si>
    <t xml:space="preserve">TM: edad media</t>
  </si>
  <si>
    <t xml:space="preserve">TM: valor de mercado (M€)</t>
  </si>
  <si>
    <t xml:space="preserve">Cuentas: precio de venta (M€)</t>
  </si>
  <si>
    <t xml:space="preserve">Ejercicio contable</t>
  </si>
  <si>
    <t xml:space="preserve">TM ventas reasignadas (M€)</t>
  </si>
  <si>
    <t xml:space="preserve">Diferencia (M€)</t>
  </si>
  <si>
    <t xml:space="preserve">n/d</t>
  </si>
  <si>
    <t xml:space="preserve">n/d (cuentas no publicadas)</t>
  </si>
  <si>
    <t xml:space="preserve">Lectura: 23/24 TM 113 vs cuentas 24,1 → buena parte de esas ventas se habría registrado en 22/23 (firmadas antes del 30/06/2023). 24/25 cuentas 114,2 vs TM 76,7 → ~37 M€ más en cuentas: parte de las ventas del verano 2025 (TM 25/26) se habría registrado antes del 30/06/2025. Suma TM 23/24–25/26 = 297,7 vs cuentas 23/24–24/25 = 138,3 (+ 25/26 por publicar). HIPÓTESIS hasta tener fechas por jugador.</t>
  </si>
  <si>
    <t xml:space="preserve">Solo filas tipo 'venta', asignadas por la fecha de Transfermarkt.</t>
  </si>
  <si>
    <t xml:space="preserve">ESCENARIOS (M€) — hipótesis para cuadrar con las cuentas</t>
  </si>
  <si>
    <t xml:space="preserve">LISTA POR JUGADOR — salidas con importe desde 07/2022. Fuente: export de Transfermarkt.mx hecho por el usuario (fichajes_villarreal.csv). ESTIMACIÓN EXTERNA.</t>
  </si>
  <si>
    <t xml:space="preserve">Escenario</t>
  </si>
  <si>
    <t xml:space="preserve">TM (M€)</t>
  </si>
  <si>
    <t xml:space="preserve">Cuentas (M€)</t>
  </si>
  <si>
    <t xml:space="preserve">Dif. (M€)</t>
  </si>
  <si>
    <t xml:space="preserve">Jugador</t>
  </si>
  <si>
    <t xml:space="preserve">Club destino</t>
  </si>
  <si>
    <t xml:space="preserve">Fecha del traspaso (dd/mm/aaaa)</t>
  </si>
  <si>
    <t xml:space="preserve">Importe TM (M€)</t>
  </si>
  <si>
    <t xml:space="preserve">Temporada TM</t>
  </si>
  <si>
    <t xml:space="preserve">Ejercicio contable (calculado)</t>
  </si>
  <si>
    <t xml:space="preserve">Tipo (venta / cesión / libre)</t>
  </si>
  <si>
    <t xml:space="preserve">23/24 por fecha TM</t>
  </si>
  <si>
    <t xml:space="preserve">Moi Gómez</t>
  </si>
  <si>
    <t xml:space="preserve">CA Osasuna</t>
  </si>
  <si>
    <t xml:space="preserve">venta</t>
  </si>
  <si>
    <t xml:space="preserve">23/24 si Jackson, Dia, Morlanes y Pau Torres fueron en 22/23</t>
  </si>
  <si>
    <t xml:space="preserve">Pervis Estupiñán</t>
  </si>
  <si>
    <t xml:space="preserve">Brighton</t>
  </si>
  <si>
    <t xml:space="preserve">24/25 por fecha TM</t>
  </si>
  <si>
    <t xml:space="preserve">Boulaye Dia</t>
  </si>
  <si>
    <t xml:space="preserve">Salernitana</t>
  </si>
  <si>
    <t xml:space="preserve">cesión</t>
  </si>
  <si>
    <t xml:space="preserve">Coste de cesión (préstamo), no venta. Ídem: fecha 01/07; probablemente en 22/23.</t>
  </si>
  <si>
    <t xml:space="preserve">24/25 + Baena (42)</t>
  </si>
  <si>
    <t xml:space="preserve">Gerónimo Rulli</t>
  </si>
  <si>
    <t xml:space="preserve">Ajax</t>
  </si>
  <si>
    <t xml:space="preserve">24/25 + Barry (30) + Ferrari (2,5)</t>
  </si>
  <si>
    <t xml:space="preserve">Arnaut Danjuma</t>
  </si>
  <si>
    <t xml:space="preserve">Tottenham</t>
  </si>
  <si>
    <t xml:space="preserve">Coste de cesión (préstamo), no venta.</t>
  </si>
  <si>
    <t xml:space="preserve">Nicolas Jackson</t>
  </si>
  <si>
    <t xml:space="preserve">Chelsea</t>
  </si>
  <si>
    <t xml:space="preserve">TM fecha 01/07 (fecha por defecto del verano). Probablemente firmado en junio 2023 → 22/23.</t>
  </si>
  <si>
    <t xml:space="preserve">Ojo: Transfermarkt suele poner 01/07 como fecha de los traspasos de verano aunque se firmen en junio, y sus importes son de prensa. Ninguno de estos escenarios está confirmado; la nota de hechos posteriores o la de deudores podría nombrar a los jugadores.</t>
  </si>
  <si>
    <t xml:space="preserve">Ídem: fecha 01/07; probablemente en 22/23.</t>
  </si>
  <si>
    <t xml:space="preserve">Manu Morlanes</t>
  </si>
  <si>
    <t xml:space="preserve">RCD Mallorca</t>
  </si>
  <si>
    <t xml:space="preserve">Pau Torres</t>
  </si>
  <si>
    <t xml:space="preserve">Aston Villa</t>
  </si>
  <si>
    <t xml:space="preserve">Fecha TM 12/07/2023, pero para cuadrar con las cuentas tendría que estar en 22/23. NO CONFIRMADO.</t>
  </si>
  <si>
    <t xml:space="preserve">Iván Martín</t>
  </si>
  <si>
    <t xml:space="preserve">Girona FC</t>
  </si>
  <si>
    <t xml:space="preserve">Everton</t>
  </si>
  <si>
    <t xml:space="preserve">Samuel Chukwueze</t>
  </si>
  <si>
    <t xml:space="preserve">AC Milan</t>
  </si>
  <si>
    <t xml:space="preserve">Julio 2023 → 23/24. Con Iván Martín suma 23,1 ≈ 24,1 de cuentas 23/24.</t>
  </si>
  <si>
    <t xml:space="preserve">Johan Mojica</t>
  </si>
  <si>
    <t xml:space="preserve">Filip Jørgensen</t>
  </si>
  <si>
    <t xml:space="preserve">Ben Brereton Díaz</t>
  </si>
  <si>
    <t xml:space="preserve">Southampton</t>
  </si>
  <si>
    <t xml:space="preserve">Alexander Sørloth</t>
  </si>
  <si>
    <t xml:space="preserve">Atlético</t>
  </si>
  <si>
    <t xml:space="preserve">Jorge Cuenca</t>
  </si>
  <si>
    <t xml:space="preserve">Fulham</t>
  </si>
  <si>
    <t xml:space="preserve">Haissem Hassan</t>
  </si>
  <si>
    <t xml:space="preserve">Real Oviedo</t>
  </si>
  <si>
    <t xml:space="preserve">Andrés Ferrari</t>
  </si>
  <si>
    <t xml:space="preserve">Sint-Truiden</t>
  </si>
  <si>
    <t xml:space="preserve">Fecha por defecto 01/07 (opción de compra tras cesión).</t>
  </si>
  <si>
    <t xml:space="preserve">Álex Baena</t>
  </si>
  <si>
    <t xml:space="preserve">Fecha TM 02/07/2025, un día después del cierre. Candidato a estar en 24/25 (76,7+42=118,7 ≈ 114,2).</t>
  </si>
  <si>
    <t xml:space="preserve">Thierno Barry</t>
  </si>
  <si>
    <t xml:space="preserve">Alternativa: con Ferrari, 76,7+30+2,5=109,2 ≈ 114,2. No se puede distinguir sin la nota.</t>
  </si>
  <si>
    <t xml:space="preserve">Jorge Pascual</t>
  </si>
  <si>
    <t xml:space="preserve">Granada CF</t>
  </si>
  <si>
    <t xml:space="preserve">Yéremy Pino</t>
  </si>
  <si>
    <t xml:space="preserve">Crystal Palace</t>
  </si>
  <si>
    <t xml:space="preserve">Karl Etta Eyong</t>
  </si>
  <si>
    <t xml:space="preserve">Levante UD</t>
  </si>
  <si>
    <t xml:space="preserve">VALOR DE MERCADO vs VALOR EN LIBROS</t>
  </si>
  <si>
    <t xml:space="preserve">Valor de mercado de la plantilla (M€) — EXTERNO: Transfermarkt, dato del usuario 11/10/2026 (plantilla actual 26/27)</t>
  </si>
  <si>
    <t xml:space="preserve">Valor en libros de los jugadores a 30/06/2025 (M€) — Nota 7</t>
  </si>
  <si>
    <t xml:space="preserve">Múltiplo mercado / libros</t>
  </si>
  <si>
    <t xml:space="preserve">Diferencia aproximada ("plusvalía latente", M€)</t>
  </si>
  <si>
    <t xml:space="preserve">Ojo: fechas y plantillas distintas (TM = hoy; libros = 30/06/2025) y TM es una estimación, no un precio. Solo orientativo.</t>
  </si>
  <si>
    <t xml:space="preserve">Cantera — coste por canterano (idea de Ferran Soriano) y retorno</t>
  </si>
  <si>
    <t xml:space="preserve">EXTERNO: Transfermarkt (archivos fichajes.csv y origen.csv del usuario, 11/10/2026). Coste: nota 25.7, p. 52 (cuenta analítica cantera 24/25).</t>
  </si>
  <si>
    <t xml:space="preserve">Definición usada aquí: "canterano" = jugador que Transfermarkt registra como subido del filial (Villarreal CF B/C) al primer equipo. OJO: incluye jugadores fichados de otros clubes para el filial (ver col. N).</t>
  </si>
  <si>
    <t xml:space="preserve">Fecha subida</t>
  </si>
  <si>
    <t xml:space="preserve">Posición</t>
  </si>
  <si>
    <t xml:space="preserve">Edad</t>
  </si>
  <si>
    <t xml:space="preserve">Desde</t>
  </si>
  <si>
    <t xml:space="preserve">En ventana 15/16–24/25</t>
  </si>
  <si>
    <t xml:space="preserve">Venta: club</t>
  </si>
  <si>
    <t xml:space="preserve">Fecha venta</t>
  </si>
  <si>
    <t xml:space="preserve">Importe venta (€)</t>
  </si>
  <si>
    <t xml:space="preserve">Recompra (€)</t>
  </si>
  <si>
    <t xml:space="preserve">Sigue en plantilla 26/27</t>
  </si>
  <si>
    <t xml:space="preserve">Valor mercado actual (€)</t>
  </si>
  <si>
    <t xml:space="preserve">¿Formado en casa? (rellenar)</t>
  </si>
  <si>
    <t xml:space="preserve">Matías Nahuel</t>
  </si>
  <si>
    <t xml:space="preserve">Extremo izquierdo</t>
  </si>
  <si>
    <t xml:space="preserve">Villarreal CF B</t>
  </si>
  <si>
    <t xml:space="preserve">Olympiacos</t>
  </si>
  <si>
    <t xml:space="preserve">2018-08-31</t>
  </si>
  <si>
    <t xml:space="preserve">No</t>
  </si>
  <si>
    <t xml:space="preserve">Libre</t>
  </si>
  <si>
    <t xml:space="preserve">Adrián Marín</t>
  </si>
  <si>
    <t xml:space="preserve">Lateral izquierdo</t>
  </si>
  <si>
    <t xml:space="preserve">Alavés</t>
  </si>
  <si>
    <t xml:space="preserve">2018-08-09</t>
  </si>
  <si>
    <t xml:space="preserve">Alfonso Pedraza</t>
  </si>
  <si>
    <t xml:space="preserve">Varias cesiones; contrato hasta 30/06/2026. Salida no registrada en el archivo.</t>
  </si>
  <si>
    <t xml:space="preserve">Rodri</t>
  </si>
  <si>
    <t xml:space="preserve">Pivote</t>
  </si>
  <si>
    <t xml:space="preserve">2018-07-01</t>
  </si>
  <si>
    <t xml:space="preserve">Dani Raba</t>
  </si>
  <si>
    <t xml:space="preserve">Mediapunta</t>
  </si>
  <si>
    <t xml:space="preserve">2022-02-02</t>
  </si>
  <si>
    <t xml:space="preserve">Defensa central</t>
  </si>
  <si>
    <t xml:space="preserve">2023-07-12</t>
  </si>
  <si>
    <t xml:space="preserve">Leo Suárez</t>
  </si>
  <si>
    <t xml:space="preserve">Extremo derecho</t>
  </si>
  <si>
    <t xml:space="preserve">CF América</t>
  </si>
  <si>
    <t xml:space="preserve">2020-01-13</t>
  </si>
  <si>
    <t xml:space="preserve">Importe "?" en Transfermarkt: no se suma.</t>
  </si>
  <si>
    <t xml:space="preserve">Miguel Llambrich</t>
  </si>
  <si>
    <t xml:space="preserve">Lateral derecho</t>
  </si>
  <si>
    <t xml:space="preserve">RCD Espanyol</t>
  </si>
  <si>
    <t xml:space="preserve">2021-07-01</t>
  </si>
  <si>
    <t xml:space="preserve">Juan Ibiza</t>
  </si>
  <si>
    <t xml:space="preserve">UD Almería</t>
  </si>
  <si>
    <t xml:space="preserve">2019-07-10</t>
  </si>
  <si>
    <t xml:space="preserve">2023-07-27</t>
  </si>
  <si>
    <t xml:space="preserve">Mediocentro</t>
  </si>
  <si>
    <t xml:space="preserve">UD Almería / RCD Mallorca</t>
  </si>
  <si>
    <t xml:space="preserve">2021-07-01 / 2023-07-01</t>
  </si>
  <si>
    <t xml:space="preserve">Vendido a Almería por 3 M€ (01/07/2021), recomprado por 4 M€ (07/07/2021) y vendido a Mallorca por 2,5 M€ (2023). Operación rara: revisar.</t>
  </si>
  <si>
    <t xml:space="preserve">Xavi Quintillà</t>
  </si>
  <si>
    <t xml:space="preserve">Santa Clara</t>
  </si>
  <si>
    <t xml:space="preserve">2022-07-03</t>
  </si>
  <si>
    <t xml:space="preserve">Enric Franquesa</t>
  </si>
  <si>
    <t xml:space="preserve">2021-07-02</t>
  </si>
  <si>
    <t xml:space="preserve">Soufiane Chakla</t>
  </si>
  <si>
    <t xml:space="preserve">OH Leuven</t>
  </si>
  <si>
    <t xml:space="preserve">2021-08-27</t>
  </si>
  <si>
    <t xml:space="preserve">Subió con 26 años: casi seguro fichado para el filial, no formado en casa.</t>
  </si>
  <si>
    <t xml:space="preserve">Fer Niño</t>
  </si>
  <si>
    <t xml:space="preserve">Delantero centro</t>
  </si>
  <si>
    <t xml:space="preserve">Cesión a Mallorca 2021. Salida no registrada en el archivo.</t>
  </si>
  <si>
    <t xml:space="preserve">2023-07-22</t>
  </si>
  <si>
    <t xml:space="preserve">2025-07-02</t>
  </si>
  <si>
    <t xml:space="preserve">Venta en 25/26 (julio 2025).</t>
  </si>
  <si>
    <t xml:space="preserve">Villarreal CF C</t>
  </si>
  <si>
    <t xml:space="preserve">2025-08-29</t>
  </si>
  <si>
    <t xml:space="preserve">Venta en 25/26.</t>
  </si>
  <si>
    <t xml:space="preserve">Andrei Rațiu</t>
  </si>
  <si>
    <t xml:space="preserve">SD Huesca</t>
  </si>
  <si>
    <t xml:space="preserve">2021-08-04</t>
  </si>
  <si>
    <t xml:space="preserve">Álex Millán</t>
  </si>
  <si>
    <t xml:space="preserve">Cesiones. Salida no registrada en el archivo.</t>
  </si>
  <si>
    <t xml:space="preserve">2023-07-01</t>
  </si>
  <si>
    <t xml:space="preserve">Origen fuera del club (verificar en Transfermarkt).</t>
  </si>
  <si>
    <t xml:space="preserve">Portero</t>
  </si>
  <si>
    <t xml:space="preserve">2024-07-30</t>
  </si>
  <si>
    <t xml:space="preserve">2024-08-11</t>
  </si>
  <si>
    <t xml:space="preserve">Adrià Altimira</t>
  </si>
  <si>
    <t xml:space="preserve">RC Deportivo</t>
  </si>
  <si>
    <t xml:space="preserve">2026-01-02</t>
  </si>
  <si>
    <t xml:space="preserve">Álex Forés</t>
  </si>
  <si>
    <t xml:space="preserve">Carlos Romero</t>
  </si>
  <si>
    <t xml:space="preserve">Sí</t>
  </si>
  <si>
    <t xml:space="preserve">Entró al club con 17 años (origen.csv).</t>
  </si>
  <si>
    <t xml:space="preserve">2025-07-01</t>
  </si>
  <si>
    <t xml:space="preserve">2025-07-30</t>
  </si>
  <si>
    <t xml:space="preserve">Pau Navarro</t>
  </si>
  <si>
    <t xml:space="preserve">Entró al club con 15 años (origen.csv).</t>
  </si>
  <si>
    <t xml:space="preserve">Pau Cabanes</t>
  </si>
  <si>
    <t xml:space="preserve">Cesión. Salida no registrada en el archivo.</t>
  </si>
  <si>
    <t xml:space="preserve">2025-09-01</t>
  </si>
  <si>
    <t xml:space="preserve">Fuera de la ventana de 10 años.</t>
  </si>
  <si>
    <t xml:space="preserve">Dani Requena</t>
  </si>
  <si>
    <t xml:space="preserve">Cesión a Córdoba. Fuera de la ventana.</t>
  </si>
  <si>
    <t xml:space="preserve">CÁLCULO (ventana de 10 temporadas: 15/16 a 24/25)</t>
  </si>
  <si>
    <t xml:space="preserve">Canteranos subidos al primer equipo (definición amplia)</t>
  </si>
  <si>
    <t xml:space="preserve">Transfermarkt</t>
  </si>
  <si>
    <t xml:space="preserve">Coste anual de la cantera 24/25 (pérdida cuenta analítica)</t>
  </si>
  <si>
    <t xml:space="preserve">Nota 25.7, p. 52. Incluye 1,85 M€ de amortización.</t>
  </si>
  <si>
    <t xml:space="preserve">Años</t>
  </si>
  <si>
    <t xml:space="preserve">Supuesto</t>
  </si>
  <si>
    <t xml:space="preserve">Coste total de la cantera en 10 años (SUPUESTO: igual cada año)</t>
  </si>
  <si>
    <t xml:space="preserve">APROXIMACIÓN: solo tenemos el coste de 24/25.</t>
  </si>
  <si>
    <t xml:space="preserve">COSTE POR CANTERANO (€)</t>
  </si>
  <si>
    <t xml:space="preserve">Soriano: Barça ~2 M€ por jugador.</t>
  </si>
  <si>
    <t xml:space="preserve">Ventas de esos canteranos (€), netas de recompras</t>
  </si>
  <si>
    <t xml:space="preserve">EXTERNO: importes brutos de Transfermarkt; incluye ventas hechas en 25/26.</t>
  </si>
  <si>
    <t xml:space="preserve">Valor de mercado de los que siguen (€)</t>
  </si>
  <si>
    <t xml:space="preserve">EXTERNO: Transfermarkt.</t>
  </si>
  <si>
    <t xml:space="preserve">Ventas por cada € gastado en cantera (x)</t>
  </si>
  <si>
    <t xml:space="preserve">Ventas + valor actual por cada € gastado (x)</t>
  </si>
  <si>
    <t xml:space="preserve">Canteranos vendidos con traspaso (&gt; 0 €)</t>
  </si>
  <si>
    <t xml:space="preserve">Canteranos "formados en casa" (col. N = Sí)</t>
  </si>
  <si>
    <t xml:space="preserve">Rellena la col. N para la versión estricta.</t>
  </si>
  <si>
    <t xml:space="preserve">Coste por canterano — versión estricta (€)</t>
  </si>
  <si>
    <t xml:space="preserve">LECTURA Y AVISOS</t>
  </si>
  <si>
    <t xml:space="preserve">• Los importes de Transfermarkt son brutos: no restan comisiones, % a clubes de origen ni lo que costó fichar a los que vinieron de fuera. No son la plusvalía contable.</t>
  </si>
  <si>
    <t xml:space="preserve">• El coste es una aproximación: aplica el coste de 24/25 a los 10 años. Si antes la cantera costaba menos, el coste por canterano real es menor.</t>
  </si>
  <si>
    <t xml:space="preserve">• 30 "canteranos" en 10 años es mucho porque la definición es amplia (subidos del filial, aunque no jueguen). Soriano cuenta los que llegan de verdad al primer equipo.</t>
  </si>
  <si>
    <t xml:space="preserve">• Concentración: Baena, Jackson, Pau Torres, Pino, Jørgensen, Chukwueze y Rodri suman casi todas las ventas. Unos pocos aciertos pagan toda la cantera.</t>
  </si>
  <si>
    <t xml:space="preserve">• Caso Gerard Moreno (no entra en el cálculo): canterano vendido al Espanyol por 1,5 M€ en 2015 y recomprado por 20 M€ en 2018. Cuesta caro dejar ir a uno bueno.</t>
  </si>
  <si>
    <t xml:space="preserve">• Analogía: la cantera es I+D de una farmacéutica. Muchos proyectos no llegan a nada; unos pocos éxitos pagan todo el departamento.</t>
  </si>
  <si>
    <t xml:space="preserve">Qué falta para completar el análisis</t>
  </si>
  <si>
    <t xml:space="preserve">Convención: todas las páginas citadas son la numeración del visor PDF, no la impresa en la hoja.</t>
  </si>
  <si>
    <t xml:space="preserve">Documento / sección</t>
  </si>
  <si>
    <t xml:space="preserve">Para qué sirve</t>
  </si>
  <si>
    <t xml:space="preserve">Ingresos, personal, amortización, venta de jugadores, resultado (paso 2)</t>
  </si>
  <si>
    <t xml:space="preserve">Hecho</t>
  </si>
  <si>
    <t xml:space="preserve">Nota 13.1 (importe neto de la cifra de negocios)</t>
  </si>
  <si>
    <t xml:space="preserve">Desglose de ingresos (competiciones, abonados, TV, comercial, tiendas)</t>
  </si>
  <si>
    <t xml:space="preserve">Nota 7 (inmovilizado intangible)</t>
  </si>
  <si>
    <t xml:space="preserve">Hecho: Concesiones = instalaciones cedidas; Otro inmov. = jugadores. Falta el texto de la nota: quién cede las instalaciones y lista de jugadores.</t>
  </si>
  <si>
    <t xml:space="preserve">Tabla hecha</t>
  </si>
  <si>
    <t xml:space="preserve">Nota 9.a.1 (deudores)</t>
  </si>
  <si>
    <t xml:space="preserve">Vista: la nota NO detalla quién debe los 136,5 M€. Sigue abierto.</t>
  </si>
  <si>
    <t xml:space="preserve">Visto, sin respuesta</t>
  </si>
  <si>
    <t xml:space="preserve">Nota 9.b (deudas)</t>
  </si>
  <si>
    <t xml:space="preserve">Hecho: 108,6 M€ préstamo LaLiga/CVC (1,52% TV, 50 años) + 24,2 M€ acreedores comerciales LP.</t>
  </si>
  <si>
    <t xml:space="preserve">Hecho. Caja −30 M€: explotación −87,1 · inversión +45,3 · financiación +11,7. p. 11.</t>
  </si>
  <si>
    <t xml:space="preserve">Nota 25 / 25.2 / 25.3</t>
  </si>
  <si>
    <t xml:space="preserve">Hecho. Presupuesto 25/26 (no 24/25); ratios A y B cumplen; resultado del fútbol +31,3 M€.</t>
  </si>
  <si>
    <t xml:space="preserve">Favorable, sin énfasis. Aspectos relevantes: valoración de jugadores e ingresos.</t>
  </si>
  <si>
    <t xml:space="preserve">Nota 13.2 (gastos de personal)</t>
  </si>
  <si>
    <t xml:space="preserve">Separar plantilla deportiva vs. no deportivo</t>
  </si>
  <si>
    <t xml:space="preserve">Nota 13.4.9 (ingresos accesorios)</t>
  </si>
  <si>
    <t xml:space="preserve">Qué son los 5,0 M€ (8,1 M€ en 23/24) de 'otros ingresos'</t>
  </si>
  <si>
    <t xml:space="preserve">Nota 7 — detalle línea 11</t>
  </si>
  <si>
    <t xml:space="preserve">Qué jugadores se vendieron y qué son los −2,0 M€ de 'otros resultados'</t>
  </si>
  <si>
    <t xml:space="preserve">Hecho (nota 13.4.4)</t>
  </si>
  <si>
    <t xml:space="preserve">Nota 12 (impuestos)</t>
  </si>
  <si>
    <t xml:space="preserve">Hecho: base imponible 0; impuesto diferido por ventas a plazos; 93,2 M€ de pérdidas fiscales sin registrar.</t>
  </si>
  <si>
    <t xml:space="preserve">Conciliación línea 11b 23/24</t>
  </si>
  <si>
    <t xml:space="preserve">Los detalles de la nota 7.2.2 suman 6,4 M€ más que la PyG 23/24. Ver si las cesiones o variables van en otra línea, o si la PyG 23/24 se reclasificó.</t>
  </si>
  <si>
    <t xml:space="preserve">Hecho (nota 13.4.4: cuadra)</t>
  </si>
  <si>
    <t xml:space="preserve">Préstamo participativo con LaLiga (nota 9.b)</t>
  </si>
  <si>
    <t xml:space="preserve">Importe, tasa, plazo y garantías; financia la reforma del estadio (paso 5).</t>
  </si>
  <si>
    <t xml:space="preserve">Página exacta de la tabla 7.1</t>
  </si>
  <si>
    <t xml:space="preserve">Nota 7 = pp. 27–30 del PDF.</t>
  </si>
  <si>
    <t xml:space="preserve">Fechas por jugador (Transfermarkt)</t>
  </si>
  <si>
    <t xml:space="preserve">Lista cargada. 23/24 cuadra si 4 ventas de julio 2023 se registraron en 22/23; 24/25 cuadra aprox. si Baena (o Barry+Ferrari) entró antes del 30/06/2025. Hipótesis. Nota 22 (hechos posteriores) no aporta: "ningún hecho significativo".</t>
  </si>
  <si>
    <t xml:space="preserve">Hecho (hipótesis)</t>
  </si>
  <si>
    <t xml:space="preserve">Páginas del ECPN y del estado de flujos</t>
  </si>
  <si>
    <t xml:space="preserve">p. 11 del PDF.</t>
  </si>
  <si>
    <t xml:space="preserve">Deuda con el grupo (19 M€ devueltos en 23/24)</t>
  </si>
  <si>
    <t xml:space="preserve">Nota 23 vista: no lo explica. Probablemente en las cuentas 23/24.</t>
  </si>
  <si>
    <t xml:space="preserve">Pendiente</t>
  </si>
  <si>
    <t xml:space="preserve">Quién debe los 136,5 M€ de deudores diversos</t>
  </si>
  <si>
    <t xml:space="preserve">RESUELTO (nota 28): clubes 127,5 M€ a 30/06/2025. No se nombran los clubes.</t>
  </si>
  <si>
    <t xml:space="preserve">Acreedores comerciales LP (24,2 M€)</t>
  </si>
  <si>
    <t xml:space="preserve">Confirmado (nota 28): 18,3 M€ son clubes.</t>
  </si>
  <si>
    <t xml:space="preserve">Páginas de la nota 9</t>
  </si>
  <si>
    <t xml:space="preserve">Estimadas pp. 31–34 del PDF; confirmar.</t>
  </si>
  <si>
    <t xml:space="preserve">Amortización 24/25: 13.2 vs nota 7</t>
  </si>
  <si>
    <t xml:space="preserve">Nota 28: jugadores 25,56 y material 2,27 → la PyG cuadra; la tabla de la nota 7 presenta 255.833 € en otra línea.</t>
  </si>
  <si>
    <t xml:space="preserve">Dónde están los derechos de imagen en la PyG</t>
  </si>
  <si>
    <t xml:space="preserve">LaLiga: en gasto de plantilla. PyG oficial: fuera de personal (probablemente servicios exteriores).</t>
  </si>
  <si>
    <t xml:space="preserve">Concepto de los 13,7 M€ de Pamesa Grupo Empresarial</t>
  </si>
  <si>
    <t xml:space="preserve">Ni nota 23, ni IG, ni EINF lo explican. Prensa: ~2,5 M€/año (externo). Abierto.</t>
  </si>
  <si>
    <t xml:space="preserve">Diferencia cifra LFP vs PyG (1,49 M€)</t>
  </si>
  <si>
    <t xml:space="preserve">La explicación del documento no permite reproducirla.</t>
  </si>
  <si>
    <t xml:space="preserve">Presupuesto LaLiga 24/25 (paso 7)</t>
  </si>
  <si>
    <t xml:space="preserve">Está en la nota 25.3 de las cuentas 23/24 (no las tenemos).</t>
  </si>
  <si>
    <t xml:space="preserve">Por qué el presupuesto 25/26 sube la cifra de negocios a 161,4 M€</t>
  </si>
  <si>
    <t xml:space="preserve">Confirmado en el informe de gestión: Champions League 25/26.</t>
  </si>
  <si>
    <t xml:space="preserve">Informe de auditoría 24/25 (paso 8)</t>
  </si>
  <si>
    <t xml:space="preserve">Abonados, aforo y asistencia (paso 6)</t>
  </si>
  <si>
    <t xml:space="preserve">Oficial (EINF p. 10): 19.773 abonados, aforo 21.332. Asistencia sigue siendo de Transfermarkt.</t>
  </si>
  <si>
    <t xml:space="preserve">Página del informe de auditoría en el PDF completo</t>
  </si>
  <si>
    <t xml:space="preserve">pp. 3–8 del PDF completo.</t>
  </si>
  <si>
    <t xml:space="preserve">"Último plazo" del Plan Impulso recibido en 24/25</t>
  </si>
  <si>
    <t xml:space="preserve">El IG dice que se recibió, pero el saldo de otras deudas bajó 2,9 M€. ¿Cuánto fue? Sin dato.</t>
  </si>
  <si>
    <t xml:space="preserve">Página de la nota 28</t>
  </si>
  <si>
    <t xml:space="preserve">pp. 53–57.</t>
  </si>
  <si>
    <t xml:space="preserve">CIERRE 13/10/2026 — ABIERTOS Y PREGUNTAS DEL ANÁLISIS</t>
  </si>
  <si>
    <t xml:space="preserve">ABIERTO: concepto de los 13,72 M€ de Pamesa Grupo Empresarial (prensa ~2,5 M€; ¿naming Ciudad Deportiva Pamesa?).</t>
  </si>
  <si>
    <t xml:space="preserve">ABIERTO: 19 M€ devueltos a empresas del grupo en 23/24 (préstamo; falta saber cuándo y por qué se prestó).</t>
  </si>
  <si>
    <t xml:space="preserve">ABIERTO: "último plazo" del préstamo LaLiga recibido vs saldo que baja 2,9 M€.</t>
  </si>
  <si>
    <t xml:space="preserve">ABIERTO: ¿se amplió la cesión del estadio más allá de 2033?</t>
  </si>
  <si>
    <t xml:space="preserve">ABIERTO: paso 7 (presupuesto 24/25 vs real) y datos 22/23 → necesitan las cuentas 23/24.</t>
  </si>
  <si>
    <t xml:space="preserve">ABIERTO: plazos de cobro/pago de traspasos (prensa / X): Baena, Sørloth, Barry, Jørgensen…</t>
  </si>
  <si>
    <t xml:space="preserve">COMPARAR: ingreso por espectador y % matchday de clubes medianos (Valencia primero).</t>
  </si>
  <si>
    <t xml:space="preserve">APRENDER: fair play financiero completo (LaLiga y UEFA) · libro de Soriano (definición exacta del 50–65%).</t>
  </si>
  <si>
    <t xml:space="preserve">PREGUNTAS DE EMILIO: ¿qué hacer en un año bajo en ventas? · si el equipo no funciona, ¿cómo aseguras que la cantera dé el paso? · ¿qué hacer con el dinero de traspasos? · ¿qué otros ingresos pueden bajar el % de sueldos?</t>
  </si>
</sst>
</file>

<file path=xl/styles.xml><?xml version="1.0" encoding="utf-8"?>
<styleSheet xmlns="http://schemas.openxmlformats.org/spreadsheetml/2006/main">
  <numFmts count="16">
    <numFmt numFmtId="164" formatCode="General"/>
    <numFmt numFmtId="165" formatCode="#,##0.0;\(#,##0.0\);\-"/>
    <numFmt numFmtId="166" formatCode="0.0%;\(0.0%\);\-"/>
    <numFmt numFmtId="167" formatCode="0.0%"/>
    <numFmt numFmtId="168" formatCode="#,##0;\(#,##0\);\-"/>
    <numFmt numFmtId="169" formatCode="0.00"/>
    <numFmt numFmtId="170" formatCode="#,##0.00;\(#,##0.00\);\-"/>
    <numFmt numFmtId="171" formatCode="#,##0"/>
    <numFmt numFmtId="172" formatCode="0.00\x"/>
    <numFmt numFmtId="173" formatCode="0"/>
    <numFmt numFmtId="174" formatCode="#,##0.00"/>
    <numFmt numFmtId="175" formatCode="0%"/>
    <numFmt numFmtId="176" formatCode="0.0"/>
    <numFmt numFmtId="177" formatCode="dd/mm/yyyy"/>
    <numFmt numFmtId="178" formatCode="#,##0.0"/>
    <numFmt numFmtId="179" formatCode="0.0\x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b val="true"/>
      <sz val="11"/>
      <name val="Cambria"/>
      <family val="0"/>
      <charset val="1"/>
    </font>
    <font>
      <sz val="11"/>
      <color rgb="FF008000"/>
      <name val="Cambria"/>
      <family val="0"/>
      <charset val="1"/>
    </font>
    <font>
      <i val="true"/>
      <sz val="9"/>
      <name val="Cambria"/>
      <family val="0"/>
      <charset val="1"/>
    </font>
    <font>
      <sz val="10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3"/>
      <name val="Cambria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1F2"/>
        <bgColor rgb="FFE2EFDA"/>
      </patternFill>
    </fill>
    <fill>
      <patternFill patternType="solid">
        <fgColor rgb="FFFFFF00"/>
        <bgColor rgb="FFFFFF00"/>
      </patternFill>
    </fill>
    <fill>
      <patternFill patternType="solid">
        <fgColor rgb="FFEDEDED"/>
        <bgColor rgb="FFE2EFDA"/>
      </patternFill>
    </fill>
    <fill>
      <patternFill patternType="solid">
        <fgColor rgb="FFE2EFDA"/>
        <bgColor rgb="FFEDEDED"/>
      </patternFill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2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3" shrinkToFit="false"/>
      <protection locked="true" hidden="false"/>
    </xf>
    <xf numFmtId="165" fontId="7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6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7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0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0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10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3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0" fillId="7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8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1" shrinkToFit="false"/>
      <protection locked="true" hidden="false"/>
    </xf>
    <xf numFmtId="173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10" fillId="8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7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1" shrinkToFit="false"/>
      <protection locked="true" hidden="false"/>
    </xf>
    <xf numFmtId="175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6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2" shrinkToFit="false"/>
      <protection locked="true" hidden="false"/>
    </xf>
    <xf numFmtId="169" fontId="16" fillId="8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8" fontId="7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8" fontId="9" fillId="8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6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8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6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8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8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6" fontId="10" fillId="8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7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8" fontId="10" fillId="8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8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9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8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77" fontId="16" fillId="8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16" fillId="8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0" fillId="7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0" fillId="7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DEDED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6"/>
    <col collapsed="false" customWidth="true" hidden="false" outlineLevel="0" max="4" min="2" style="1" width="12"/>
    <col collapsed="false" customWidth="true" hidden="false" outlineLevel="0" max="5" min="5" style="1" width="32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customFormat="false" ht="15" hidden="false" customHeight="true" outlineLevel="0" collapsed="false">
      <c r="A5" s="5" t="s">
        <v>7</v>
      </c>
      <c r="B5" s="6"/>
      <c r="C5" s="6"/>
      <c r="D5" s="6"/>
      <c r="E5" s="6"/>
    </row>
    <row r="6" customFormat="false" ht="15" hidden="false" customHeight="true" outlineLevel="0" collapsed="false">
      <c r="A6" s="7" t="s">
        <v>8</v>
      </c>
      <c r="B6" s="8" t="n">
        <f aca="false">Nota13!D10</f>
        <v>1.442107</v>
      </c>
      <c r="C6" s="8" t="n">
        <f aca="false">Nota13!E10</f>
        <v>1.358388</v>
      </c>
      <c r="E6" s="3" t="s">
        <v>9</v>
      </c>
    </row>
    <row r="7" customFormat="false" ht="15" hidden="false" customHeight="true" outlineLevel="0" collapsed="false">
      <c r="A7" s="7" t="s">
        <v>10</v>
      </c>
      <c r="B7" s="8" t="n">
        <f aca="false">Nota13!D11</f>
        <v>5.405088</v>
      </c>
      <c r="C7" s="8" t="n">
        <f aca="false">Nota13!E11</f>
        <v>5.562796</v>
      </c>
      <c r="E7" s="3" t="s">
        <v>9</v>
      </c>
    </row>
    <row r="8" customFormat="false" ht="15" hidden="false" customHeight="true" outlineLevel="0" collapsed="false">
      <c r="A8" s="7" t="s">
        <v>11</v>
      </c>
      <c r="B8" s="8" t="n">
        <f aca="false">Nota13!D14</f>
        <v>59.850047</v>
      </c>
      <c r="C8" s="8" t="n">
        <f aca="false">Nota13!E14</f>
        <v>89.979168</v>
      </c>
      <c r="E8" s="3" t="s">
        <v>9</v>
      </c>
    </row>
    <row r="9" customFormat="false" ht="15" hidden="false" customHeight="true" outlineLevel="0" collapsed="false">
      <c r="A9" s="9" t="s">
        <v>12</v>
      </c>
      <c r="B9" s="8" t="n">
        <f aca="false">Nota13!D12</f>
        <v>58.263045</v>
      </c>
      <c r="C9" s="8" t="n">
        <f aca="false">Nota13!E12</f>
        <v>69.584073</v>
      </c>
      <c r="E9" s="3" t="s">
        <v>13</v>
      </c>
    </row>
    <row r="10" customFormat="false" ht="15" hidden="false" customHeight="true" outlineLevel="0" collapsed="false">
      <c r="A10" s="9" t="s">
        <v>14</v>
      </c>
      <c r="B10" s="8" t="n">
        <f aca="false">Nota13!D13</f>
        <v>1.587002</v>
      </c>
      <c r="C10" s="8" t="n">
        <f aca="false">Nota13!E13</f>
        <v>20.395095</v>
      </c>
      <c r="E10" s="3" t="s">
        <v>13</v>
      </c>
    </row>
    <row r="11" customFormat="false" ht="15" hidden="false" customHeight="true" outlineLevel="0" collapsed="false">
      <c r="A11" s="7" t="s">
        <v>15</v>
      </c>
      <c r="B11" s="8" t="n">
        <f aca="false">Nota13!D18</f>
        <v>28.121312</v>
      </c>
      <c r="C11" s="8" t="n">
        <f aca="false">Nota13!E18</f>
        <v>21.181385</v>
      </c>
      <c r="E11" s="3" t="s">
        <v>9</v>
      </c>
    </row>
    <row r="12" customFormat="false" ht="15" hidden="false" customHeight="true" outlineLevel="0" collapsed="false">
      <c r="A12" s="7" t="s">
        <v>16</v>
      </c>
      <c r="B12" s="8" t="n">
        <f aca="false">Nota13!D17</f>
        <v>2.107233</v>
      </c>
      <c r="C12" s="8" t="n">
        <f aca="false">Nota13!E17</f>
        <v>2.334703</v>
      </c>
      <c r="E12" s="3" t="s">
        <v>9</v>
      </c>
    </row>
    <row r="13" customFormat="false" ht="15" hidden="false" customHeight="true" outlineLevel="0" collapsed="false">
      <c r="A13" s="10" t="s">
        <v>17</v>
      </c>
      <c r="B13" s="11" t="n">
        <f aca="false">Nota13!D19</f>
        <v>96.925787</v>
      </c>
      <c r="C13" s="11" t="n">
        <f aca="false">Nota13!E19</f>
        <v>120.41644</v>
      </c>
      <c r="E13" s="3" t="s">
        <v>13</v>
      </c>
    </row>
    <row r="14" customFormat="false" ht="15" hidden="false" customHeight="true" outlineLevel="0" collapsed="false">
      <c r="A14" s="12" t="s">
        <v>18</v>
      </c>
      <c r="B14" s="8" t="n">
        <f aca="false">PyG!C9/1000000</f>
        <v>95.43790005</v>
      </c>
      <c r="C14" s="8" t="n">
        <f aca="false">PyG!D9/1000000</f>
        <v>119.72156242</v>
      </c>
      <c r="E14" s="3" t="s">
        <v>19</v>
      </c>
    </row>
    <row r="15" customFormat="false" ht="15" hidden="false" customHeight="true" outlineLevel="0" collapsed="false">
      <c r="A15" s="12" t="s">
        <v>20</v>
      </c>
      <c r="B15" s="8" t="n">
        <f aca="false">PyG!C15/1000000</f>
        <v>5.62208387</v>
      </c>
      <c r="C15" s="8" t="n">
        <f aca="false">PyG!D15/1000000</f>
        <v>8.56433359</v>
      </c>
      <c r="E15" s="3" t="s">
        <v>19</v>
      </c>
    </row>
    <row r="16" customFormat="false" ht="15" hidden="false" customHeight="true" outlineLevel="0" collapsed="false">
      <c r="A16" s="5" t="s">
        <v>21</v>
      </c>
      <c r="B16" s="6"/>
      <c r="C16" s="6"/>
      <c r="D16" s="6"/>
      <c r="E16" s="6"/>
    </row>
    <row r="17" customFormat="false" ht="15" hidden="false" customHeight="true" outlineLevel="0" collapsed="false">
      <c r="A17" s="10" t="s">
        <v>22</v>
      </c>
      <c r="B17" s="11" t="n">
        <f aca="false">PyG!C18/1000000</f>
        <v>-114.06714253</v>
      </c>
      <c r="C17" s="11" t="n">
        <f aca="false">PyG!D18/1000000</f>
        <v>-108.08907097</v>
      </c>
      <c r="E17" s="3" t="s">
        <v>19</v>
      </c>
    </row>
    <row r="18" customFormat="false" ht="15" hidden="false" customHeight="true" outlineLevel="0" collapsed="false">
      <c r="A18" s="9" t="s">
        <v>23</v>
      </c>
      <c r="B18" s="8" t="n">
        <f aca="false">-Nota13!D50</f>
        <v>-105.57513979</v>
      </c>
      <c r="C18" s="8" t="n">
        <f aca="false">-Nota13!E50</f>
        <v>-99.37163776</v>
      </c>
      <c r="E18" s="3" t="s">
        <v>24</v>
      </c>
    </row>
    <row r="19" customFormat="false" ht="15" hidden="false" customHeight="true" outlineLevel="0" collapsed="false">
      <c r="A19" s="13" t="s">
        <v>25</v>
      </c>
      <c r="B19" s="8" t="n">
        <f aca="false">-Nota13!D51</f>
        <v>-96.55506369</v>
      </c>
      <c r="C19" s="8" t="n">
        <f aca="false">-Nota13!E51</f>
        <v>-94.38074593</v>
      </c>
      <c r="E19" s="3" t="s">
        <v>26</v>
      </c>
    </row>
    <row r="20" customFormat="false" ht="15" hidden="false" customHeight="true" outlineLevel="0" collapsed="false">
      <c r="A20" s="9" t="s">
        <v>27</v>
      </c>
      <c r="B20" s="8" t="n">
        <f aca="false">-Nota13!D53</f>
        <v>-8.49200274</v>
      </c>
      <c r="C20" s="8" t="n">
        <f aca="false">-Nota13!E53</f>
        <v>-8.71743324</v>
      </c>
      <c r="E20" s="3" t="s">
        <v>26</v>
      </c>
    </row>
    <row r="21" customFormat="false" ht="15" hidden="false" customHeight="true" outlineLevel="0" collapsed="false">
      <c r="A21" s="12" t="s">
        <v>28</v>
      </c>
      <c r="B21" s="8" t="n">
        <f aca="false">PyG!C24/1000000</f>
        <v>-30.17703507</v>
      </c>
      <c r="C21" s="8" t="n">
        <f aca="false">PyG!D24/1000000</f>
        <v>-27.89770451</v>
      </c>
      <c r="E21" s="3" t="s">
        <v>19</v>
      </c>
    </row>
    <row r="22" customFormat="false" ht="15" hidden="false" customHeight="true" outlineLevel="0" collapsed="false">
      <c r="A22" s="10" t="s">
        <v>29</v>
      </c>
      <c r="B22" s="11" t="n">
        <f aca="false">Nota13!D137</f>
        <v>92.74000239</v>
      </c>
      <c r="C22" s="11" t="n">
        <f aca="false">Nota13!E137</f>
        <v>26.42583379</v>
      </c>
      <c r="E22" s="3" t="s">
        <v>30</v>
      </c>
    </row>
    <row r="23" customFormat="false" ht="15" hidden="false" customHeight="true" outlineLevel="0" collapsed="false">
      <c r="A23" s="9" t="s">
        <v>31</v>
      </c>
      <c r="B23" s="8" t="n">
        <f aca="false">Nota13!D131</f>
        <v>94.7174185</v>
      </c>
      <c r="C23" s="8" t="n">
        <f aca="false">Nota13!E131</f>
        <v>28.49861715</v>
      </c>
      <c r="E23" s="3" t="s">
        <v>32</v>
      </c>
    </row>
    <row r="24" customFormat="false" ht="15" hidden="false" customHeight="true" outlineLevel="0" collapsed="false">
      <c r="A24" s="9" t="s">
        <v>33</v>
      </c>
      <c r="B24" s="8" t="n">
        <f aca="false">Nota13!D136</f>
        <v>0</v>
      </c>
      <c r="C24" s="8" t="n">
        <f aca="false">Nota13!E136</f>
        <v>0</v>
      </c>
      <c r="E24" s="3" t="s">
        <v>34</v>
      </c>
    </row>
    <row r="25" customFormat="false" ht="15" hidden="false" customHeight="true" outlineLevel="0" collapsed="false">
      <c r="A25" s="9" t="s">
        <v>35</v>
      </c>
      <c r="B25" s="8" t="n">
        <f aca="false">Nota13!D137-Nota13!D131-Nota13!D136</f>
        <v>-1.97741611000001</v>
      </c>
      <c r="C25" s="8" t="n">
        <f aca="false">Nota13!E137-Nota13!E131-Nota13!E136</f>
        <v>-2.07278336</v>
      </c>
      <c r="E25" s="3" t="s">
        <v>36</v>
      </c>
    </row>
    <row r="26" customFormat="false" ht="15" hidden="false" customHeight="true" outlineLevel="0" collapsed="false">
      <c r="A26" s="10" t="s">
        <v>37</v>
      </c>
      <c r="B26" s="11" t="n">
        <f aca="false">PyG!C29/1000000</f>
        <v>19.28052996</v>
      </c>
      <c r="C26" s="11" t="n">
        <f aca="false">PyG!D29/1000000</f>
        <v>-15.07196548</v>
      </c>
      <c r="E26" s="3" t="s">
        <v>19</v>
      </c>
    </row>
    <row r="27" customFormat="false" ht="15" hidden="false" customHeight="true" outlineLevel="0" collapsed="false">
      <c r="A27" s="12" t="s">
        <v>38</v>
      </c>
      <c r="B27" s="8" t="n">
        <f aca="false">PyG!C32/1000000</f>
        <v>-0.87965798</v>
      </c>
      <c r="C27" s="8" t="n">
        <f aca="false">PyG!D32/1000000</f>
        <v>-2.64999947</v>
      </c>
      <c r="E27" s="3" t="s">
        <v>19</v>
      </c>
    </row>
    <row r="28" customFormat="false" ht="15" hidden="false" customHeight="true" outlineLevel="0" collapsed="false">
      <c r="A28" s="10" t="s">
        <v>39</v>
      </c>
      <c r="B28" s="14" t="n">
        <f aca="false">PyG!C38/1000000</f>
        <v>13.71124856</v>
      </c>
      <c r="C28" s="14" t="n">
        <f aca="false">PyG!D38/1000000</f>
        <v>-14.12123728</v>
      </c>
      <c r="D28" s="15" t="n">
        <f aca="false">3606042.2/1000000</f>
        <v>3.6060422</v>
      </c>
      <c r="E28" s="3" t="s">
        <v>40</v>
      </c>
    </row>
    <row r="29" customFormat="false" ht="15" hidden="false" customHeight="true" outlineLevel="0" collapsed="false">
      <c r="A29" s="5" t="s">
        <v>41</v>
      </c>
      <c r="B29" s="6"/>
      <c r="C29" s="6"/>
      <c r="D29" s="6"/>
      <c r="E29" s="6"/>
    </row>
    <row r="30" customFormat="false" ht="15" hidden="false" customHeight="true" outlineLevel="0" collapsed="false">
      <c r="A30" s="12" t="s">
        <v>42</v>
      </c>
      <c r="B30" s="16" t="n">
        <f aca="false">-B17/B14</f>
        <v>1.19519753127678</v>
      </c>
      <c r="C30" s="16" t="n">
        <f aca="false">-C17/C14</f>
        <v>0.902837122947063</v>
      </c>
      <c r="E30" s="3" t="s">
        <v>43</v>
      </c>
    </row>
    <row r="31" customFormat="false" ht="15" hidden="false" customHeight="true" outlineLevel="0" collapsed="false">
      <c r="A31" s="12" t="s">
        <v>44</v>
      </c>
      <c r="B31" s="16" t="n">
        <f aca="false">-B17/B13</f>
        <v>1.17685031053707</v>
      </c>
      <c r="C31" s="16" t="n">
        <f aca="false">-C17/C13</f>
        <v>0.897627192516238</v>
      </c>
      <c r="E31" s="3" t="s">
        <v>43</v>
      </c>
    </row>
    <row r="32" customFormat="false" ht="15" hidden="false" customHeight="true" outlineLevel="0" collapsed="false">
      <c r="A32" s="12" t="s">
        <v>45</v>
      </c>
      <c r="B32" s="8" t="n">
        <f aca="false">B26-B22</f>
        <v>-73.45947243</v>
      </c>
      <c r="C32" s="8" t="n">
        <f aca="false">C26-C22</f>
        <v>-41.49779927</v>
      </c>
      <c r="E32" s="3" t="s">
        <v>43</v>
      </c>
    </row>
    <row r="33" customFormat="false" ht="15" hidden="false" customHeight="true" outlineLevel="0" collapsed="false">
      <c r="A33" s="12" t="s">
        <v>46</v>
      </c>
      <c r="B33" s="8" t="n">
        <f aca="false">B26-B22-B21</f>
        <v>-43.28243736</v>
      </c>
      <c r="C33" s="8" t="n">
        <f aca="false">C26-C22-C21</f>
        <v>-13.60009476</v>
      </c>
      <c r="E33" s="3" t="s">
        <v>43</v>
      </c>
    </row>
    <row r="34" customFormat="false" ht="15" hidden="false" customHeight="true" outlineLevel="0" collapsed="false">
      <c r="A34" s="12" t="s">
        <v>47</v>
      </c>
      <c r="B34" s="8" t="n">
        <f aca="false">B26-B21</f>
        <v>49.45756503</v>
      </c>
      <c r="C34" s="8" t="n">
        <f aca="false">C26-C21</f>
        <v>12.82573903</v>
      </c>
      <c r="E34" s="3" t="s">
        <v>43</v>
      </c>
    </row>
    <row r="35" customFormat="false" ht="15" hidden="false" customHeight="true" outlineLevel="0" collapsed="false">
      <c r="A35" s="12" t="s">
        <v>48</v>
      </c>
      <c r="B35" s="16" t="n">
        <f aca="false">B8/B13</f>
        <v>0.617483219403728</v>
      </c>
      <c r="C35" s="16" t="n">
        <f aca="false">C8/C13</f>
        <v>0.747233251539408</v>
      </c>
      <c r="E35" s="3" t="s">
        <v>43</v>
      </c>
    </row>
    <row r="37" customFormat="false" ht="15" hidden="false" customHeight="true" outlineLevel="0" collapsed="false">
      <c r="A37" s="3" t="s">
        <v>49</v>
      </c>
    </row>
    <row r="38" customFormat="false" ht="15" hidden="false" customHeight="true" outlineLevel="0" collapsed="false">
      <c r="A38" s="3" t="s">
        <v>50</v>
      </c>
    </row>
    <row r="39" customFormat="false" ht="15" hidden="false" customHeight="true" outlineLevel="0" collapsed="false">
      <c r="A39" s="3" t="s">
        <v>51</v>
      </c>
    </row>
    <row r="41" customFormat="false" ht="15" hidden="false" customHeight="true" outlineLevel="0" collapsed="false">
      <c r="A41" s="5" t="s">
        <v>52</v>
      </c>
      <c r="B41" s="6"/>
      <c r="C41" s="6"/>
      <c r="D41" s="6"/>
      <c r="E41" s="6"/>
    </row>
    <row r="42" customFormat="false" ht="15" hidden="false" customHeight="true" outlineLevel="0" collapsed="false">
      <c r="A42" s="12" t="s">
        <v>53</v>
      </c>
      <c r="B42" s="8" t="n">
        <f aca="false">Nota25!D60</f>
        <v>31.32028416</v>
      </c>
      <c r="C42" s="8" t="n">
        <f aca="false">Nota25!E60</f>
        <v>-5.72044620000002</v>
      </c>
      <c r="E42" s="3" t="s">
        <v>54</v>
      </c>
    </row>
    <row r="43" customFormat="false" ht="15" hidden="false" customHeight="true" outlineLevel="0" collapsed="false">
      <c r="A43" s="12" t="s">
        <v>55</v>
      </c>
      <c r="C43" s="8" t="n">
        <f aca="false">-Nota25!B105/1000000</f>
        <v>72.44709</v>
      </c>
      <c r="E43" s="3" t="s">
        <v>56</v>
      </c>
    </row>
    <row r="44" customFormat="false" ht="15" hidden="false" customHeight="true" outlineLevel="0" collapsed="false">
      <c r="A44" s="12" t="s">
        <v>57</v>
      </c>
      <c r="B44" s="8" t="n">
        <f aca="false">Nota25!D71</f>
        <v>161.385</v>
      </c>
      <c r="E44" s="3" t="s">
        <v>58</v>
      </c>
    </row>
    <row r="45" customFormat="false" ht="15" hidden="false" customHeight="true" outlineLevel="0" collapsed="false">
      <c r="A45" s="12" t="s">
        <v>59</v>
      </c>
      <c r="B45" s="8" t="n">
        <f aca="false">Nota25!D75</f>
        <v>-142.888</v>
      </c>
      <c r="E45" s="3" t="s">
        <v>60</v>
      </c>
    </row>
    <row r="46" customFormat="false" ht="15" hidden="false" customHeight="true" outlineLevel="0" collapsed="false">
      <c r="A46" s="12" t="s">
        <v>61</v>
      </c>
      <c r="B46" s="8" t="n">
        <f aca="false">Nota25!D80</f>
        <v>50.97</v>
      </c>
      <c r="E46" s="3" t="s">
        <v>60</v>
      </c>
    </row>
    <row r="47" customFormat="false" ht="15" hidden="false" customHeight="true" outlineLevel="0" collapsed="false">
      <c r="A47" s="12" t="s">
        <v>62</v>
      </c>
      <c r="B47" s="8" t="n">
        <f aca="false">Nota25!B85/1000</f>
        <v>0</v>
      </c>
      <c r="E47" s="3" t="s">
        <v>63</v>
      </c>
    </row>
    <row r="48" customFormat="false" ht="15" hidden="false" customHeight="true" outlineLevel="0" collapsed="false">
      <c r="A48" s="3" t="s">
        <v>64</v>
      </c>
    </row>
    <row r="49" customFormat="false" ht="15" hidden="false" customHeight="true" outlineLevel="0" collapsed="false">
      <c r="A49" s="17" t="s">
        <v>65</v>
      </c>
    </row>
    <row r="51" customFormat="false" ht="15" hidden="false" customHeight="true" outlineLevel="0" collapsed="false">
      <c r="A51" s="5" t="s">
        <v>66</v>
      </c>
      <c r="B51" s="6"/>
      <c r="C51" s="6"/>
      <c r="D51" s="6"/>
      <c r="E51" s="6"/>
    </row>
    <row r="52" customFormat="false" ht="15" hidden="false" customHeight="true" outlineLevel="0" collapsed="false">
      <c r="A52" s="12" t="s">
        <v>67</v>
      </c>
      <c r="B52" s="18" t="n">
        <f aca="false">Aficion_Estadio!B14</f>
        <v>0.856272267016689</v>
      </c>
      <c r="E52" s="3" t="s">
        <v>68</v>
      </c>
    </row>
    <row r="53" customFormat="false" ht="15" hidden="false" customHeight="true" outlineLevel="0" collapsed="false">
      <c r="A53" s="12" t="s">
        <v>69</v>
      </c>
      <c r="B53" s="19" t="n">
        <f aca="false">Aficion_Estadio!B16</f>
        <v>273.357001972387</v>
      </c>
      <c r="E53" s="3" t="s">
        <v>68</v>
      </c>
    </row>
    <row r="54" customFormat="false" ht="15" hidden="false" customHeight="true" outlineLevel="0" collapsed="false">
      <c r="A54" s="12" t="s">
        <v>70</v>
      </c>
      <c r="B54" s="20" t="n">
        <f aca="false">Aficion_Estadio!B18/1000000</f>
        <v>0.323922</v>
      </c>
      <c r="E54" s="3" t="s">
        <v>68</v>
      </c>
    </row>
    <row r="55" customFormat="false" ht="15" hidden="false" customHeight="true" outlineLevel="0" collapsed="false">
      <c r="A55" s="12" t="s">
        <v>71</v>
      </c>
      <c r="B55" s="21" t="s">
        <v>72</v>
      </c>
      <c r="E55" s="3" t="s">
        <v>73</v>
      </c>
    </row>
    <row r="57" customFormat="false" ht="15" hidden="false" customHeight="true" outlineLevel="0" collapsed="false">
      <c r="A57" s="5" t="s">
        <v>74</v>
      </c>
      <c r="B57" s="6"/>
      <c r="C57" s="6"/>
      <c r="D57" s="6"/>
      <c r="E57" s="6"/>
    </row>
    <row r="58" customFormat="false" ht="15" hidden="false" customHeight="true" outlineLevel="0" collapsed="false">
      <c r="A58" s="12" t="s">
        <v>75</v>
      </c>
      <c r="B58" s="8" t="n">
        <f aca="false">Nota28!D19</f>
        <v>127.476363</v>
      </c>
      <c r="C58" s="8" t="n">
        <f aca="false">Nota28!E19</f>
        <v>72.44709</v>
      </c>
      <c r="E58" s="3" t="s">
        <v>76</v>
      </c>
    </row>
    <row r="59" customFormat="false" ht="15" hidden="false" customHeight="true" outlineLevel="0" collapsed="false">
      <c r="A59" s="12" t="s">
        <v>77</v>
      </c>
      <c r="B59" s="8" t="n">
        <f aca="false">Nota28!D43</f>
        <v>18.261935</v>
      </c>
      <c r="C59" s="8" t="n">
        <f aca="false">Nota28!E43</f>
        <v>6.083983</v>
      </c>
      <c r="E59" s="3" t="s">
        <v>76</v>
      </c>
    </row>
    <row r="60" customFormat="false" ht="15" hidden="false" customHeight="true" outlineLevel="0" collapsed="false">
      <c r="A60" s="12" t="s">
        <v>78</v>
      </c>
      <c r="B60" s="8" t="n">
        <f aca="false">Nota28!D52</f>
        <v>29.445025</v>
      </c>
      <c r="C60" s="8" t="n">
        <f aca="false">Nota28!E52</f>
        <v>21.463499</v>
      </c>
      <c r="E60" s="3" t="s">
        <v>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48"/>
    <col collapsed="false" customWidth="true" hidden="false" outlineLevel="0" max="3" min="3" style="1" width="16"/>
    <col collapsed="false" customWidth="true" hidden="false" outlineLevel="0" max="4" min="4" style="1" width="95"/>
  </cols>
  <sheetData>
    <row r="1" customFormat="false" ht="17.25" hidden="false" customHeight="true" outlineLevel="0" collapsed="false">
      <c r="A1" s="2" t="s">
        <v>79</v>
      </c>
    </row>
    <row r="2" customFormat="false" ht="15" hidden="false" customHeight="true" outlineLevel="0" collapsed="false">
      <c r="A2" s="3" t="s">
        <v>80</v>
      </c>
    </row>
    <row r="4" customFormat="false" ht="15" hidden="false" customHeight="true" outlineLevel="0" collapsed="false">
      <c r="A4" s="22" t="s">
        <v>81</v>
      </c>
      <c r="B4" s="22" t="s">
        <v>82</v>
      </c>
      <c r="C4" s="22" t="s">
        <v>83</v>
      </c>
      <c r="D4" s="22" t="s">
        <v>84</v>
      </c>
    </row>
    <row r="5" customFormat="false" ht="15" hidden="false" customHeight="true" outlineLevel="0" collapsed="false">
      <c r="A5" s="23" t="s">
        <v>85</v>
      </c>
      <c r="B5" s="23" t="s">
        <v>86</v>
      </c>
      <c r="C5" s="23" t="s">
        <v>87</v>
      </c>
      <c r="D5" s="23"/>
    </row>
    <row r="6" customFormat="false" ht="15" hidden="false" customHeight="true" outlineLevel="0" collapsed="false">
      <c r="A6" s="24" t="s">
        <v>88</v>
      </c>
      <c r="B6" s="24" t="s">
        <v>89</v>
      </c>
      <c r="C6" s="24" t="s">
        <v>90</v>
      </c>
      <c r="D6" s="24" t="s">
        <v>91</v>
      </c>
    </row>
    <row r="7" customFormat="false" ht="15" hidden="false" customHeight="true" outlineLevel="0" collapsed="false">
      <c r="A7" s="24" t="s">
        <v>92</v>
      </c>
      <c r="B7" s="24" t="s">
        <v>93</v>
      </c>
      <c r="C7" s="24" t="s">
        <v>90</v>
      </c>
      <c r="D7" s="24" t="s">
        <v>94</v>
      </c>
    </row>
    <row r="8" customFormat="false" ht="15" hidden="false" customHeight="true" outlineLevel="0" collapsed="false">
      <c r="A8" s="24" t="s">
        <v>95</v>
      </c>
      <c r="B8" s="24" t="s">
        <v>96</v>
      </c>
      <c r="C8" s="24" t="s">
        <v>90</v>
      </c>
      <c r="D8" s="24"/>
    </row>
    <row r="9" customFormat="false" ht="15" hidden="false" customHeight="true" outlineLevel="0" collapsed="false">
      <c r="A9" s="24" t="s">
        <v>97</v>
      </c>
      <c r="B9" s="24" t="s">
        <v>98</v>
      </c>
      <c r="C9" s="24" t="s">
        <v>90</v>
      </c>
      <c r="D9" s="24" t="s">
        <v>99</v>
      </c>
    </row>
    <row r="10" customFormat="false" ht="15" hidden="false" customHeight="true" outlineLevel="0" collapsed="false">
      <c r="A10" s="24" t="s">
        <v>100</v>
      </c>
      <c r="B10" s="24" t="s">
        <v>101</v>
      </c>
      <c r="C10" s="24" t="s">
        <v>90</v>
      </c>
      <c r="D10" s="24" t="s">
        <v>102</v>
      </c>
    </row>
    <row r="11" customFormat="false" ht="30" hidden="false" customHeight="true" outlineLevel="0" collapsed="false">
      <c r="A11" s="25" t="s">
        <v>103</v>
      </c>
      <c r="B11" s="25" t="s">
        <v>104</v>
      </c>
      <c r="C11" s="25" t="s">
        <v>105</v>
      </c>
      <c r="D11" s="25" t="s">
        <v>106</v>
      </c>
    </row>
    <row r="12" customFormat="false" ht="15" hidden="false" customHeight="true" outlineLevel="0" collapsed="false">
      <c r="A12" s="25" t="s">
        <v>107</v>
      </c>
      <c r="B12" s="25" t="s">
        <v>108</v>
      </c>
      <c r="C12" s="25" t="s">
        <v>105</v>
      </c>
      <c r="D12" s="25" t="s">
        <v>109</v>
      </c>
    </row>
    <row r="13" customFormat="false" ht="30" hidden="false" customHeight="true" outlineLevel="0" collapsed="false">
      <c r="A13" s="25" t="s">
        <v>110</v>
      </c>
      <c r="B13" s="25" t="s">
        <v>111</v>
      </c>
      <c r="C13" s="25" t="s">
        <v>105</v>
      </c>
      <c r="D13" s="25" t="s">
        <v>112</v>
      </c>
    </row>
    <row r="14" customFormat="false" ht="60" hidden="false" customHeight="true" outlineLevel="0" collapsed="false">
      <c r="A14" s="25" t="s">
        <v>113</v>
      </c>
      <c r="B14" s="25" t="s">
        <v>114</v>
      </c>
      <c r="C14" s="25" t="s">
        <v>105</v>
      </c>
      <c r="D14" s="25" t="s">
        <v>115</v>
      </c>
    </row>
    <row r="15" customFormat="false" ht="30" hidden="false" customHeight="true" outlineLevel="0" collapsed="false">
      <c r="A15" s="25" t="s">
        <v>116</v>
      </c>
      <c r="B15" s="25" t="s">
        <v>117</v>
      </c>
      <c r="C15" s="25" t="s">
        <v>105</v>
      </c>
      <c r="D15" s="25" t="s">
        <v>118</v>
      </c>
    </row>
    <row r="16" customFormat="false" ht="30" hidden="false" customHeight="true" outlineLevel="0" collapsed="false">
      <c r="A16" s="25" t="s">
        <v>119</v>
      </c>
      <c r="B16" s="25" t="s">
        <v>120</v>
      </c>
      <c r="C16" s="25" t="s">
        <v>105</v>
      </c>
      <c r="D16" s="25" t="s">
        <v>121</v>
      </c>
    </row>
    <row r="17" customFormat="false" ht="15" hidden="false" customHeight="true" outlineLevel="0" collapsed="false">
      <c r="A17" s="24" t="s">
        <v>122</v>
      </c>
      <c r="B17" s="24" t="s">
        <v>123</v>
      </c>
      <c r="C17" s="24" t="s">
        <v>90</v>
      </c>
      <c r="D17" s="24" t="s">
        <v>124</v>
      </c>
    </row>
    <row r="18" customFormat="false" ht="30" hidden="false" customHeight="true" outlineLevel="0" collapsed="false">
      <c r="A18" s="23" t="s">
        <v>125</v>
      </c>
      <c r="B18" s="23" t="s">
        <v>126</v>
      </c>
      <c r="C18" s="23" t="s">
        <v>87</v>
      </c>
      <c r="D18" s="23" t="s">
        <v>127</v>
      </c>
    </row>
    <row r="19" customFormat="false" ht="15" hidden="false" customHeight="true" outlineLevel="0" collapsed="false">
      <c r="A19" s="24" t="s">
        <v>128</v>
      </c>
      <c r="B19" s="24" t="s">
        <v>129</v>
      </c>
      <c r="C19" s="24" t="s">
        <v>90</v>
      </c>
      <c r="D19" s="24" t="s">
        <v>130</v>
      </c>
    </row>
    <row r="20" customFormat="false" ht="15" hidden="false" customHeight="true" outlineLevel="0" collapsed="false">
      <c r="A20" s="23" t="s">
        <v>131</v>
      </c>
      <c r="B20" s="23" t="s">
        <v>132</v>
      </c>
      <c r="C20" s="23" t="s">
        <v>87</v>
      </c>
      <c r="D20" s="23" t="s">
        <v>133</v>
      </c>
    </row>
    <row r="21" customFormat="false" ht="30" hidden="false" customHeight="true" outlineLevel="0" collapsed="false">
      <c r="A21" s="23" t="s">
        <v>134</v>
      </c>
      <c r="B21" s="23" t="s">
        <v>135</v>
      </c>
      <c r="C21" s="23" t="s">
        <v>87</v>
      </c>
      <c r="D21" s="23" t="s">
        <v>136</v>
      </c>
    </row>
    <row r="22" customFormat="false" ht="30" hidden="false" customHeight="true" outlineLevel="0" collapsed="false">
      <c r="A22" s="25" t="s">
        <v>137</v>
      </c>
      <c r="B22" s="25" t="s">
        <v>138</v>
      </c>
      <c r="C22" s="25" t="s">
        <v>105</v>
      </c>
      <c r="D22" s="25" t="s">
        <v>139</v>
      </c>
    </row>
    <row r="23" customFormat="false" ht="15" hidden="false" customHeight="true" outlineLevel="0" collapsed="false">
      <c r="A23" s="24" t="s">
        <v>140</v>
      </c>
      <c r="B23" s="24" t="s">
        <v>141</v>
      </c>
      <c r="C23" s="24" t="s">
        <v>90</v>
      </c>
      <c r="D23" s="24"/>
    </row>
    <row r="24" customFormat="false" ht="30" hidden="false" customHeight="true" outlineLevel="0" collapsed="false">
      <c r="A24" s="23" t="s">
        <v>142</v>
      </c>
      <c r="B24" s="23" t="s">
        <v>143</v>
      </c>
      <c r="C24" s="23" t="s">
        <v>87</v>
      </c>
      <c r="D24" s="23" t="s">
        <v>144</v>
      </c>
    </row>
    <row r="25" customFormat="false" ht="15" hidden="false" customHeight="true" outlineLevel="0" collapsed="false">
      <c r="A25" s="23" t="s">
        <v>145</v>
      </c>
      <c r="B25" s="23" t="s">
        <v>146</v>
      </c>
      <c r="C25" s="23" t="s">
        <v>87</v>
      </c>
      <c r="D25" s="23" t="s">
        <v>147</v>
      </c>
    </row>
    <row r="26" customFormat="false" ht="30" hidden="false" customHeight="true" outlineLevel="0" collapsed="false">
      <c r="A26" s="25" t="s">
        <v>145</v>
      </c>
      <c r="B26" s="25" t="s">
        <v>148</v>
      </c>
      <c r="C26" s="25" t="s">
        <v>105</v>
      </c>
      <c r="D26" s="25" t="s">
        <v>149</v>
      </c>
    </row>
    <row r="27" customFormat="false" ht="15" hidden="false" customHeight="true" outlineLevel="0" collapsed="false">
      <c r="A27" s="24" t="s">
        <v>145</v>
      </c>
      <c r="B27" s="24" t="s">
        <v>150</v>
      </c>
      <c r="C27" s="24" t="s">
        <v>90</v>
      </c>
      <c r="D27" s="24"/>
    </row>
    <row r="28" customFormat="false" ht="15" hidden="false" customHeight="true" outlineLevel="0" collapsed="false">
      <c r="A28" s="23" t="s">
        <v>151</v>
      </c>
      <c r="B28" s="23" t="s">
        <v>152</v>
      </c>
      <c r="C28" s="23" t="s">
        <v>87</v>
      </c>
      <c r="D28" s="23" t="s">
        <v>153</v>
      </c>
    </row>
    <row r="29" customFormat="false" ht="15" hidden="false" customHeight="true" outlineLevel="0" collapsed="false">
      <c r="A29" s="24" t="s">
        <v>154</v>
      </c>
      <c r="B29" s="24" t="s">
        <v>155</v>
      </c>
      <c r="C29" s="24" t="s">
        <v>90</v>
      </c>
      <c r="D29" s="24"/>
    </row>
    <row r="30" customFormat="false" ht="15" hidden="false" customHeight="true" outlineLevel="0" collapsed="false">
      <c r="A30" s="23" t="s">
        <v>156</v>
      </c>
      <c r="B30" s="23" t="s">
        <v>157</v>
      </c>
      <c r="C30" s="23" t="s">
        <v>87</v>
      </c>
      <c r="D30" s="23" t="s">
        <v>158</v>
      </c>
    </row>
    <row r="31" customFormat="false" ht="30" hidden="false" customHeight="true" outlineLevel="0" collapsed="false">
      <c r="A31" s="25" t="s">
        <v>156</v>
      </c>
      <c r="B31" s="25" t="s">
        <v>159</v>
      </c>
      <c r="C31" s="25" t="s">
        <v>105</v>
      </c>
      <c r="D31" s="25" t="s">
        <v>160</v>
      </c>
    </row>
    <row r="32" customFormat="false" ht="15" hidden="false" customHeight="true" outlineLevel="0" collapsed="false">
      <c r="A32" s="24" t="s">
        <v>161</v>
      </c>
      <c r="B32" s="24" t="s">
        <v>162</v>
      </c>
      <c r="C32" s="24" t="s">
        <v>90</v>
      </c>
      <c r="D32" s="24" t="s">
        <v>163</v>
      </c>
    </row>
    <row r="33" customFormat="false" ht="15" hidden="false" customHeight="true" outlineLevel="0" collapsed="false">
      <c r="A33" s="24" t="s">
        <v>164</v>
      </c>
      <c r="B33" s="24" t="s">
        <v>165</v>
      </c>
      <c r="C33" s="24" t="s">
        <v>90</v>
      </c>
      <c r="D33" s="24"/>
    </row>
    <row r="34" customFormat="false" ht="15" hidden="false" customHeight="true" outlineLevel="0" collapsed="false">
      <c r="A34" s="24" t="s">
        <v>166</v>
      </c>
      <c r="B34" s="24" t="s">
        <v>167</v>
      </c>
      <c r="C34" s="24" t="s">
        <v>90</v>
      </c>
      <c r="D34" s="24"/>
    </row>
    <row r="35" customFormat="false" ht="30" hidden="false" customHeight="true" outlineLevel="0" collapsed="false">
      <c r="A35" s="24" t="s">
        <v>168</v>
      </c>
      <c r="B35" s="24" t="s">
        <v>169</v>
      </c>
      <c r="C35" s="24" t="s">
        <v>90</v>
      </c>
      <c r="D35" s="24" t="s">
        <v>170</v>
      </c>
    </row>
    <row r="37" customFormat="false" ht="15" hidden="false" customHeight="true" outlineLevel="0" collapsed="false">
      <c r="A37" s="10" t="s">
        <v>171</v>
      </c>
    </row>
    <row r="38" customFormat="false" ht="15" hidden="false" customHeight="true" outlineLevel="0" collapsed="false">
      <c r="B38" s="12" t="s">
        <v>172</v>
      </c>
      <c r="C38" s="26" t="n">
        <v>18986552.68</v>
      </c>
    </row>
    <row r="39" customFormat="false" ht="15" hidden="false" customHeight="true" outlineLevel="0" collapsed="false">
      <c r="B39" s="12" t="s">
        <v>173</v>
      </c>
      <c r="C39" s="26" t="n">
        <v>2617651.8</v>
      </c>
    </row>
    <row r="40" customFormat="false" ht="15" hidden="false" customHeight="true" outlineLevel="0" collapsed="false">
      <c r="B40" s="12" t="s">
        <v>174</v>
      </c>
      <c r="C40" s="26" t="n">
        <v>20253.26</v>
      </c>
    </row>
    <row r="41" customFormat="false" ht="15" hidden="false" customHeight="true" outlineLevel="0" collapsed="false">
      <c r="B41" s="12" t="s">
        <v>175</v>
      </c>
      <c r="C41" s="26" t="n">
        <v>-23563800.66</v>
      </c>
    </row>
    <row r="42" customFormat="false" ht="15" hidden="false" customHeight="true" outlineLevel="0" collapsed="false">
      <c r="B42" s="12" t="s">
        <v>176</v>
      </c>
      <c r="C42" s="26" t="n">
        <v>2462584.19</v>
      </c>
    </row>
    <row r="43" customFormat="false" ht="15" hidden="false" customHeight="true" outlineLevel="0" collapsed="false">
      <c r="B43" s="12" t="s">
        <v>177</v>
      </c>
      <c r="C43" s="26" t="n">
        <v>-124166.09</v>
      </c>
    </row>
    <row r="44" customFormat="false" ht="15" hidden="false" customHeight="true" outlineLevel="0" collapsed="false">
      <c r="B44" s="10" t="s">
        <v>178</v>
      </c>
      <c r="C44" s="27" t="n">
        <f aca="false">SUM(C38:C43)</f>
        <v>399075.179999999</v>
      </c>
    </row>
    <row r="45" customFormat="false" ht="15" hidden="false" customHeight="true" outlineLevel="0" collapsed="false">
      <c r="B45" s="12" t="s">
        <v>179</v>
      </c>
      <c r="C45" s="26" t="n">
        <v>-39907.52</v>
      </c>
    </row>
    <row r="46" customFormat="false" ht="15" hidden="false" customHeight="true" outlineLevel="0" collapsed="false">
      <c r="B46" s="12" t="s">
        <v>180</v>
      </c>
      <c r="C46" s="26" t="n">
        <v>-359167.67</v>
      </c>
    </row>
    <row r="47" customFormat="false" ht="30" hidden="false" customHeight="true" outlineLevel="0" collapsed="false">
      <c r="B47" s="28" t="s">
        <v>181</v>
      </c>
      <c r="C47" s="27" t="n">
        <f aca="false">C44+C45+C46</f>
        <v>-0.0100000007078052</v>
      </c>
    </row>
    <row r="48" customFormat="false" ht="30" hidden="false" customHeight="true" outlineLevel="0" collapsed="false">
      <c r="B48" s="29" t="s">
        <v>182</v>
      </c>
      <c r="C48" s="30" t="n">
        <f aca="false">ROUND(C44-399075.18,2)</f>
        <v>0</v>
      </c>
    </row>
    <row r="49" customFormat="false" ht="30" hidden="false" customHeight="true" outlineLevel="0" collapsed="false">
      <c r="B49" s="28" t="s">
        <v>183</v>
      </c>
      <c r="C49" s="27" t="n">
        <f aca="false">-0.25*(C41+C42)</f>
        <v>5275304.1175</v>
      </c>
    </row>
    <row r="50" customFormat="false" ht="15" hidden="false" customHeight="true" outlineLevel="0" collapsed="false">
      <c r="B50" s="3" t="s">
        <v>184</v>
      </c>
      <c r="C50" s="30" t="n">
        <f aca="false">ROUND(C49-5275304.12,2)</f>
        <v>-0</v>
      </c>
    </row>
    <row r="52" customFormat="false" ht="30" hidden="false" customHeight="true" outlineLevel="0" collapsed="false">
      <c r="B52" s="31" t="s">
        <v>185</v>
      </c>
      <c r="C52" s="31"/>
      <c r="D52" s="31"/>
    </row>
    <row r="53" customFormat="false" ht="30" hidden="false" customHeight="true" outlineLevel="0" collapsed="false">
      <c r="B53" s="31" t="s">
        <v>186</v>
      </c>
      <c r="C53" s="31"/>
      <c r="D53" s="31"/>
    </row>
    <row r="54" customFormat="false" ht="30" hidden="false" customHeight="true" outlineLevel="0" collapsed="false">
      <c r="B54" s="32" t="s">
        <v>187</v>
      </c>
      <c r="C54" s="32"/>
      <c r="D54" s="32"/>
    </row>
  </sheetData>
  <mergeCells count="3">
    <mergeCell ref="B52:D52"/>
    <mergeCell ref="B53:D53"/>
    <mergeCell ref="B54:D5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2"/>
    <col collapsed="false" customWidth="true" hidden="false" outlineLevel="0" max="2" min="2" style="1" width="8"/>
    <col collapsed="false" customWidth="true" hidden="false" outlineLevel="0" max="4" min="3" style="1" width="18"/>
    <col collapsed="false" customWidth="true" hidden="false" outlineLevel="0" max="6" min="5" style="1" width="13"/>
    <col collapsed="false" customWidth="true" hidden="false" outlineLevel="0" max="7" min="7" style="1" width="12"/>
    <col collapsed="false" customWidth="true" hidden="false" outlineLevel="0" max="8" min="8" style="1" width="11"/>
  </cols>
  <sheetData>
    <row r="1" customFormat="false" ht="17.25" hidden="false" customHeight="true" outlineLevel="0" collapsed="false">
      <c r="A1" s="2" t="s">
        <v>188</v>
      </c>
    </row>
    <row r="2" customFormat="false" ht="15" hidden="false" customHeight="true" outlineLevel="0" collapsed="false">
      <c r="A2" s="3" t="s">
        <v>189</v>
      </c>
    </row>
    <row r="3" customFormat="false" ht="15" hidden="false" customHeight="true" outlineLevel="0" collapsed="false">
      <c r="A3" s="10" t="s">
        <v>190</v>
      </c>
      <c r="B3" s="33" t="n">
        <v>1000000</v>
      </c>
      <c r="C3" s="3" t="s">
        <v>191</v>
      </c>
    </row>
    <row r="4" customFormat="false" ht="15" hidden="false" customHeight="true" outlineLevel="0" collapsed="false">
      <c r="A4" s="3" t="s">
        <v>192</v>
      </c>
    </row>
    <row r="6" customFormat="false" ht="21.75" hidden="false" customHeight="true" outlineLevel="0" collapsed="false">
      <c r="A6" s="34" t="s">
        <v>2</v>
      </c>
      <c r="B6" s="35" t="s">
        <v>193</v>
      </c>
      <c r="C6" s="35" t="s">
        <v>194</v>
      </c>
      <c r="D6" s="35" t="s">
        <v>195</v>
      </c>
      <c r="E6" s="35" t="s">
        <v>196</v>
      </c>
      <c r="F6" s="35" t="s">
        <v>197</v>
      </c>
      <c r="G6" s="35" t="s">
        <v>198</v>
      </c>
      <c r="H6" s="35" t="s">
        <v>199</v>
      </c>
    </row>
    <row r="7" customFormat="false" ht="15" hidden="false" customHeight="true" outlineLevel="0" collapsed="false">
      <c r="A7" s="5" t="s">
        <v>200</v>
      </c>
      <c r="B7" s="6"/>
      <c r="C7" s="6"/>
      <c r="D7" s="6"/>
      <c r="E7" s="6"/>
      <c r="F7" s="6"/>
      <c r="G7" s="6"/>
      <c r="H7" s="6"/>
    </row>
    <row r="8" customFormat="false" ht="15" hidden="false" customHeight="true" outlineLevel="0" collapsed="false">
      <c r="A8" s="5" t="s">
        <v>201</v>
      </c>
      <c r="B8" s="6"/>
      <c r="C8" s="6"/>
      <c r="D8" s="6"/>
      <c r="E8" s="6"/>
      <c r="F8" s="6"/>
      <c r="G8" s="6"/>
      <c r="H8" s="6"/>
    </row>
    <row r="9" customFormat="false" ht="15" hidden="false" customHeight="true" outlineLevel="0" collapsed="false">
      <c r="A9" s="9" t="s">
        <v>202</v>
      </c>
      <c r="B9" s="36" t="s">
        <v>203</v>
      </c>
      <c r="C9" s="37" t="n">
        <v>72419360.66</v>
      </c>
      <c r="D9" s="37" t="n">
        <v>73139215.13</v>
      </c>
      <c r="E9" s="38" t="n">
        <f aca="false">C9/$B$3</f>
        <v>72.41936066</v>
      </c>
      <c r="F9" s="38" t="n">
        <f aca="false">D9/$B$3</f>
        <v>73.13921513</v>
      </c>
      <c r="G9" s="38" t="n">
        <f aca="false">E9-F9</f>
        <v>-0.719854470000001</v>
      </c>
      <c r="H9" s="39" t="n">
        <f aca="false">IF(F9=0,"n/a",E9/F9-1)</f>
        <v>-0.00984225040862841</v>
      </c>
    </row>
    <row r="10" customFormat="false" ht="15" hidden="false" customHeight="true" outlineLevel="0" collapsed="false">
      <c r="A10" s="9" t="s">
        <v>204</v>
      </c>
      <c r="B10" s="36" t="s">
        <v>203</v>
      </c>
      <c r="C10" s="37" t="n">
        <v>143497</v>
      </c>
      <c r="D10" s="37" t="n">
        <v>152465.56</v>
      </c>
      <c r="E10" s="38" t="n">
        <f aca="false">C10/$B$3</f>
        <v>0.143497</v>
      </c>
      <c r="F10" s="38" t="n">
        <f aca="false">D10/$B$3</f>
        <v>0.15246556</v>
      </c>
      <c r="G10" s="38" t="n">
        <f aca="false">E10-F10</f>
        <v>-0.00896855999999999</v>
      </c>
      <c r="H10" s="39" t="n">
        <f aca="false">IF(F10=0,"n/a",E10/F10-1)</f>
        <v>-0.0588235139791569</v>
      </c>
    </row>
    <row r="11" customFormat="false" ht="15" hidden="false" customHeight="true" outlineLevel="0" collapsed="false">
      <c r="A11" s="9" t="s">
        <v>205</v>
      </c>
      <c r="B11" s="36" t="s">
        <v>203</v>
      </c>
      <c r="C11" s="37" t="n">
        <v>67385032.02</v>
      </c>
      <c r="D11" s="37" t="n">
        <v>48949627.62</v>
      </c>
      <c r="E11" s="38" t="n">
        <f aca="false">C11/$B$3</f>
        <v>67.38503202</v>
      </c>
      <c r="F11" s="38" t="n">
        <f aca="false">D11/$B$3</f>
        <v>48.94962762</v>
      </c>
      <c r="G11" s="38" t="n">
        <f aca="false">E11-F11</f>
        <v>18.4354044</v>
      </c>
      <c r="H11" s="39" t="n">
        <f aca="false">IF(F11=0,"n/a",E11/F11-1)</f>
        <v>0.376619911046425</v>
      </c>
    </row>
    <row r="12" customFormat="false" ht="15" hidden="false" customHeight="true" outlineLevel="0" collapsed="false">
      <c r="A12" s="40" t="s">
        <v>206</v>
      </c>
      <c r="B12" s="41" t="s">
        <v>203</v>
      </c>
      <c r="C12" s="42" t="n">
        <f aca="false">C9+C10+C11</f>
        <v>139947889.68</v>
      </c>
      <c r="D12" s="42" t="n">
        <f aca="false">D9+D10+D11</f>
        <v>122241308.31</v>
      </c>
      <c r="E12" s="43" t="n">
        <f aca="false">C12/$B$3</f>
        <v>139.94788968</v>
      </c>
      <c r="F12" s="43" t="n">
        <f aca="false">D12/$B$3</f>
        <v>122.24130831</v>
      </c>
      <c r="G12" s="43" t="n">
        <f aca="false">E12-F12</f>
        <v>17.70658137</v>
      </c>
      <c r="H12" s="44" t="n">
        <f aca="false">IF(F12=0,"n/a",E12/F12-1)</f>
        <v>0.144849409866399</v>
      </c>
    </row>
    <row r="13" customFormat="false" ht="15" hidden="false" customHeight="true" outlineLevel="0" collapsed="false">
      <c r="A13" s="7" t="s">
        <v>207</v>
      </c>
      <c r="B13" s="36" t="s">
        <v>208</v>
      </c>
      <c r="C13" s="37" t="n">
        <v>24797795.53</v>
      </c>
      <c r="D13" s="37" t="n">
        <v>24744431.35</v>
      </c>
      <c r="E13" s="38" t="n">
        <f aca="false">C13/$B$3</f>
        <v>24.79779553</v>
      </c>
      <c r="F13" s="38" t="n">
        <f aca="false">D13/$B$3</f>
        <v>24.74443135</v>
      </c>
      <c r="G13" s="38" t="n">
        <f aca="false">E13-F13</f>
        <v>0.0533641799999991</v>
      </c>
      <c r="H13" s="39" t="n">
        <f aca="false">IF(F13=0,"n/a",E13/F13-1)</f>
        <v>0.0021566137142206</v>
      </c>
    </row>
    <row r="14" customFormat="false" ht="15" hidden="false" customHeight="true" outlineLevel="0" collapsed="false">
      <c r="A14" s="7" t="s">
        <v>209</v>
      </c>
      <c r="B14" s="36" t="s">
        <v>210</v>
      </c>
      <c r="C14" s="37" t="n">
        <v>2845418.04</v>
      </c>
      <c r="D14" s="37" t="n">
        <v>2845418.04</v>
      </c>
      <c r="E14" s="38" t="n">
        <f aca="false">C14/$B$3</f>
        <v>2.84541804</v>
      </c>
      <c r="F14" s="38" t="n">
        <f aca="false">D14/$B$3</f>
        <v>2.84541804</v>
      </c>
      <c r="G14" s="38" t="n">
        <f aca="false">E14-F14</f>
        <v>0</v>
      </c>
      <c r="H14" s="39" t="n">
        <f aca="false">IF(F14=0,"n/a",E14/F14-1)</f>
        <v>0</v>
      </c>
    </row>
    <row r="15" customFormat="false" ht="15" hidden="false" customHeight="true" outlineLevel="0" collapsed="false">
      <c r="A15" s="7" t="s">
        <v>211</v>
      </c>
      <c r="B15" s="36" t="s">
        <v>212</v>
      </c>
      <c r="C15" s="37" t="n">
        <v>2000</v>
      </c>
      <c r="D15" s="37" t="n">
        <v>2000</v>
      </c>
      <c r="E15" s="38" t="n">
        <f aca="false">C15/$B$3</f>
        <v>0.002</v>
      </c>
      <c r="F15" s="38" t="n">
        <f aca="false">D15/$B$3</f>
        <v>0.002</v>
      </c>
      <c r="G15" s="38" t="n">
        <f aca="false">E15-F15</f>
        <v>0</v>
      </c>
      <c r="H15" s="39" t="n">
        <f aca="false">IF(F15=0,"n/a",E15/F15-1)</f>
        <v>0</v>
      </c>
    </row>
    <row r="16" customFormat="false" ht="15" hidden="false" customHeight="true" outlineLevel="0" collapsed="false">
      <c r="A16" s="7" t="s">
        <v>213</v>
      </c>
      <c r="B16" s="36" t="s">
        <v>214</v>
      </c>
      <c r="C16" s="37" t="n">
        <v>2768655.8</v>
      </c>
      <c r="D16" s="37" t="n">
        <v>2793329</v>
      </c>
      <c r="E16" s="38" t="n">
        <f aca="false">C16/$B$3</f>
        <v>2.7686558</v>
      </c>
      <c r="F16" s="38" t="n">
        <f aca="false">D16/$B$3</f>
        <v>2.793329</v>
      </c>
      <c r="G16" s="38" t="n">
        <f aca="false">E16-F16</f>
        <v>-0.0246732000000001</v>
      </c>
      <c r="H16" s="39" t="n">
        <f aca="false">IF(F16=0,"n/a",E16/F16-1)</f>
        <v>-0.00883290153075422</v>
      </c>
    </row>
    <row r="17" customFormat="false" ht="15" hidden="false" customHeight="true" outlineLevel="0" collapsed="false">
      <c r="A17" s="40" t="s">
        <v>215</v>
      </c>
      <c r="B17" s="45"/>
      <c r="C17" s="42" t="n">
        <f aca="false">C12+C13+C14+C15+C16</f>
        <v>170361759.05</v>
      </c>
      <c r="D17" s="42" t="n">
        <f aca="false">D12+D13+D14+D15+D16</f>
        <v>152626486.7</v>
      </c>
      <c r="E17" s="43" t="n">
        <f aca="false">C17/$B$3</f>
        <v>170.36175905</v>
      </c>
      <c r="F17" s="43" t="n">
        <f aca="false">D17/$B$3</f>
        <v>152.6264867</v>
      </c>
      <c r="G17" s="43" t="n">
        <f aca="false">E17-F17</f>
        <v>17.73527235</v>
      </c>
      <c r="H17" s="44" t="n">
        <f aca="false">IF(F17=0,"n/a",E17/F17-1)</f>
        <v>0.116200488745182</v>
      </c>
    </row>
    <row r="18" customFormat="false" ht="15" hidden="false" customHeight="true" outlineLevel="0" collapsed="false">
      <c r="A18" s="5" t="s">
        <v>216</v>
      </c>
      <c r="B18" s="6"/>
      <c r="C18" s="6"/>
      <c r="D18" s="6"/>
      <c r="E18" s="6"/>
      <c r="F18" s="6"/>
      <c r="G18" s="6"/>
      <c r="H18" s="6"/>
    </row>
    <row r="19" customFormat="false" ht="15" hidden="false" customHeight="true" outlineLevel="0" collapsed="false">
      <c r="A19" s="7" t="s">
        <v>217</v>
      </c>
      <c r="B19" s="36" t="s">
        <v>95</v>
      </c>
      <c r="C19" s="37" t="n">
        <v>567922.13</v>
      </c>
      <c r="D19" s="37" t="n">
        <v>607759.79</v>
      </c>
      <c r="E19" s="38" t="n">
        <f aca="false">C19/$B$3</f>
        <v>0.56792213</v>
      </c>
      <c r="F19" s="38" t="n">
        <f aca="false">D19/$B$3</f>
        <v>0.60775979</v>
      </c>
      <c r="G19" s="38" t="n">
        <f aca="false">E19-F19</f>
        <v>-0.03983766</v>
      </c>
      <c r="H19" s="39" t="n">
        <f aca="false">IF(F19=0,"n/a",E19/F19-1)</f>
        <v>-0.065548364099573</v>
      </c>
    </row>
    <row r="20" customFormat="false" ht="15" hidden="false" customHeight="true" outlineLevel="0" collapsed="false">
      <c r="A20" s="7" t="s">
        <v>218</v>
      </c>
      <c r="B20" s="36" t="s">
        <v>219</v>
      </c>
      <c r="C20" s="37" t="n">
        <v>137212494.93</v>
      </c>
      <c r="D20" s="37" t="n">
        <v>83700226.31</v>
      </c>
      <c r="E20" s="38" t="n">
        <f aca="false">C20/$B$3</f>
        <v>137.21249493</v>
      </c>
      <c r="F20" s="38" t="n">
        <f aca="false">D20/$B$3</f>
        <v>83.70022631</v>
      </c>
      <c r="G20" s="38" t="n">
        <f aca="false">E20-F20</f>
        <v>53.51226862</v>
      </c>
      <c r="H20" s="39" t="n">
        <f aca="false">IF(F20=0,"n/a",E20/F20-1)</f>
        <v>0.639332424524242</v>
      </c>
    </row>
    <row r="21" customFormat="false" ht="15" hidden="false" customHeight="true" outlineLevel="0" collapsed="false">
      <c r="A21" s="46" t="s">
        <v>220</v>
      </c>
      <c r="B21" s="36" t="s">
        <v>219</v>
      </c>
      <c r="C21" s="37" t="n">
        <v>136457014.31</v>
      </c>
      <c r="D21" s="37" t="n">
        <v>83229622.4</v>
      </c>
      <c r="E21" s="47" t="n">
        <f aca="false">C21/$B$3</f>
        <v>136.45701431</v>
      </c>
      <c r="F21" s="47" t="n">
        <f aca="false">D21/$B$3</f>
        <v>83.2296224</v>
      </c>
      <c r="G21" s="47" t="n">
        <f aca="false">E21-F21</f>
        <v>53.22739191</v>
      </c>
      <c r="H21" s="48" t="n">
        <f aca="false">IF(F21=0,"n/a",E21/F21-1)</f>
        <v>0.639524611251871</v>
      </c>
    </row>
    <row r="22" customFormat="false" ht="15" hidden="false" customHeight="true" outlineLevel="0" collapsed="false">
      <c r="A22" s="7" t="s">
        <v>221</v>
      </c>
      <c r="B22" s="36" t="s">
        <v>219</v>
      </c>
      <c r="C22" s="37" t="n">
        <v>105170.25</v>
      </c>
      <c r="D22" s="37" t="n">
        <v>0</v>
      </c>
      <c r="E22" s="38" t="n">
        <f aca="false">C22/$B$3</f>
        <v>0.10517025</v>
      </c>
      <c r="F22" s="38" t="n">
        <f aca="false">D22/$B$3</f>
        <v>0</v>
      </c>
      <c r="G22" s="38" t="n">
        <f aca="false">E22-F22</f>
        <v>0.10517025</v>
      </c>
      <c r="H22" s="39" t="str">
        <f aca="false">IF(F22=0,"n/a",E22/F22-1)</f>
        <v>n/a</v>
      </c>
    </row>
    <row r="23" customFormat="false" ht="15" hidden="false" customHeight="true" outlineLevel="0" collapsed="false">
      <c r="A23" s="7" t="s">
        <v>222</v>
      </c>
      <c r="B23" s="36"/>
      <c r="C23" s="37" t="n">
        <v>17587695.73</v>
      </c>
      <c r="D23" s="37" t="n">
        <v>47616788.73</v>
      </c>
      <c r="E23" s="38" t="n">
        <f aca="false">C23/$B$3</f>
        <v>17.58769573</v>
      </c>
      <c r="F23" s="38" t="n">
        <f aca="false">D23/$B$3</f>
        <v>47.61678873</v>
      </c>
      <c r="G23" s="38" t="n">
        <f aca="false">E23-F23</f>
        <v>-30.029093</v>
      </c>
      <c r="H23" s="39" t="n">
        <f aca="false">IF(F23=0,"n/a",E23/F23-1)</f>
        <v>-0.630640868502768</v>
      </c>
    </row>
    <row r="24" customFormat="false" ht="15" hidden="false" customHeight="true" outlineLevel="0" collapsed="false">
      <c r="A24" s="40" t="s">
        <v>223</v>
      </c>
      <c r="B24" s="45"/>
      <c r="C24" s="42" t="n">
        <f aca="false">C19+C20+C22+C23</f>
        <v>155473283.04</v>
      </c>
      <c r="D24" s="42" t="n">
        <f aca="false">D19+D20+D22+D23</f>
        <v>131924774.83</v>
      </c>
      <c r="E24" s="43" t="n">
        <f aca="false">C24/$B$3</f>
        <v>155.47328304</v>
      </c>
      <c r="F24" s="43" t="n">
        <f aca="false">D24/$B$3</f>
        <v>131.92477483</v>
      </c>
      <c r="G24" s="43" t="n">
        <f aca="false">E24-F24</f>
        <v>23.54850821</v>
      </c>
      <c r="H24" s="44" t="n">
        <f aca="false">IF(F24=0,"n/a",E24/F24-1)</f>
        <v>0.178499514138606</v>
      </c>
    </row>
    <row r="25" customFormat="false" ht="15" hidden="false" customHeight="true" outlineLevel="0" collapsed="false">
      <c r="A25" s="49" t="s">
        <v>224</v>
      </c>
      <c r="B25" s="50"/>
      <c r="C25" s="51" t="n">
        <f aca="false">C17+C24</f>
        <v>325835042.09</v>
      </c>
      <c r="D25" s="51" t="n">
        <f aca="false">D17+D24</f>
        <v>284551261.53</v>
      </c>
      <c r="E25" s="52" t="n">
        <f aca="false">C25/$B$3</f>
        <v>325.83504209</v>
      </c>
      <c r="F25" s="52" t="n">
        <f aca="false">D25/$B$3</f>
        <v>284.55126153</v>
      </c>
      <c r="G25" s="52" t="n">
        <f aca="false">E25-F25</f>
        <v>41.2837805600001</v>
      </c>
      <c r="H25" s="53" t="n">
        <f aca="false">IF(F25=0,"n/a",E25/F25-1)</f>
        <v>0.145083807880597</v>
      </c>
    </row>
    <row r="27" customFormat="false" ht="15" hidden="false" customHeight="true" outlineLevel="0" collapsed="false">
      <c r="A27" s="5" t="s">
        <v>225</v>
      </c>
      <c r="B27" s="6"/>
      <c r="C27" s="6"/>
      <c r="D27" s="6"/>
      <c r="E27" s="6"/>
      <c r="F27" s="6"/>
      <c r="G27" s="6"/>
      <c r="H27" s="6"/>
    </row>
    <row r="28" customFormat="false" ht="15" hidden="false" customHeight="true" outlineLevel="0" collapsed="false">
      <c r="A28" s="5" t="s">
        <v>226</v>
      </c>
      <c r="B28" s="6"/>
      <c r="C28" s="6"/>
      <c r="D28" s="6"/>
      <c r="E28" s="6"/>
      <c r="F28" s="6"/>
      <c r="G28" s="6"/>
      <c r="H28" s="6"/>
    </row>
    <row r="29" customFormat="false" ht="15" hidden="false" customHeight="true" outlineLevel="0" collapsed="false">
      <c r="A29" s="9" t="s">
        <v>227</v>
      </c>
      <c r="B29" s="36" t="s">
        <v>228</v>
      </c>
      <c r="C29" s="37" t="n">
        <v>69575335.95</v>
      </c>
      <c r="D29" s="37" t="n">
        <v>69575335.95</v>
      </c>
      <c r="E29" s="38" t="n">
        <f aca="false">C29/$B$3</f>
        <v>69.57533595</v>
      </c>
      <c r="F29" s="38" t="n">
        <f aca="false">D29/$B$3</f>
        <v>69.57533595</v>
      </c>
      <c r="G29" s="38" t="n">
        <f aca="false">E29-F29</f>
        <v>0</v>
      </c>
      <c r="H29" s="39" t="n">
        <f aca="false">IF(F29=0,"n/a",E29/F29-1)</f>
        <v>0</v>
      </c>
    </row>
    <row r="30" customFormat="false" ht="15" hidden="false" customHeight="true" outlineLevel="0" collapsed="false">
      <c r="A30" s="9" t="s">
        <v>229</v>
      </c>
      <c r="B30" s="36"/>
      <c r="C30" s="37" t="n">
        <v>13194914.28</v>
      </c>
      <c r="D30" s="37" t="n">
        <v>13194914.28</v>
      </c>
      <c r="E30" s="38" t="n">
        <f aca="false">C30/$B$3</f>
        <v>13.19491428</v>
      </c>
      <c r="F30" s="38" t="n">
        <f aca="false">D30/$B$3</f>
        <v>13.19491428</v>
      </c>
      <c r="G30" s="38" t="n">
        <f aca="false">E30-F30</f>
        <v>0</v>
      </c>
      <c r="H30" s="39" t="n">
        <f aca="false">IF(F30=0,"n/a",E30/F30-1)</f>
        <v>0</v>
      </c>
    </row>
    <row r="31" customFormat="false" ht="15" hidden="false" customHeight="true" outlineLevel="0" collapsed="false">
      <c r="A31" s="9" t="s">
        <v>230</v>
      </c>
      <c r="B31" s="36"/>
      <c r="C31" s="37" t="n">
        <v>-14121237.28</v>
      </c>
      <c r="D31" s="37" t="n">
        <v>0</v>
      </c>
      <c r="E31" s="38" t="n">
        <f aca="false">C31/$B$3</f>
        <v>-14.12123728</v>
      </c>
      <c r="F31" s="38" t="n">
        <f aca="false">D31/$B$3</f>
        <v>0</v>
      </c>
      <c r="G31" s="38" t="n">
        <f aca="false">E31-F31</f>
        <v>-14.12123728</v>
      </c>
      <c r="H31" s="39" t="str">
        <f aca="false">IF(F31=0,"n/a",E31/F31-1)</f>
        <v>n/a</v>
      </c>
    </row>
    <row r="32" customFormat="false" ht="15" hidden="false" customHeight="true" outlineLevel="0" collapsed="false">
      <c r="A32" s="9" t="s">
        <v>231</v>
      </c>
      <c r="B32" s="36" t="s">
        <v>228</v>
      </c>
      <c r="C32" s="37" t="n">
        <v>1028976.67</v>
      </c>
      <c r="D32" s="37" t="n">
        <v>1028976.67</v>
      </c>
      <c r="E32" s="38" t="n">
        <f aca="false">C32/$B$3</f>
        <v>1.02897667</v>
      </c>
      <c r="F32" s="38" t="n">
        <f aca="false">D32/$B$3</f>
        <v>1.02897667</v>
      </c>
      <c r="G32" s="38" t="n">
        <f aca="false">E32-F32</f>
        <v>0</v>
      </c>
      <c r="H32" s="39" t="n">
        <f aca="false">IF(F32=0,"n/a",E32/F32-1)</f>
        <v>0</v>
      </c>
    </row>
    <row r="33" customFormat="false" ht="15" hidden="false" customHeight="true" outlineLevel="0" collapsed="false">
      <c r="A33" s="9" t="s">
        <v>232</v>
      </c>
      <c r="B33" s="36" t="s">
        <v>233</v>
      </c>
      <c r="C33" s="37" t="n">
        <v>13711248.56</v>
      </c>
      <c r="D33" s="37" t="n">
        <v>-14121237.28</v>
      </c>
      <c r="E33" s="38" t="n">
        <f aca="false">C33/$B$3</f>
        <v>13.71124856</v>
      </c>
      <c r="F33" s="38" t="n">
        <f aca="false">D33/$B$3</f>
        <v>-14.12123728</v>
      </c>
      <c r="G33" s="38" t="n">
        <f aca="false">E33-F33</f>
        <v>27.83248584</v>
      </c>
      <c r="H33" s="39" t="n">
        <f aca="false">IF(F33=0,"n/a",E33/F33-1)</f>
        <v>-1.97096651576129</v>
      </c>
    </row>
    <row r="34" customFormat="false" ht="15" hidden="false" customHeight="true" outlineLevel="0" collapsed="false">
      <c r="A34" s="40" t="s">
        <v>234</v>
      </c>
      <c r="B34" s="45"/>
      <c r="C34" s="42" t="n">
        <f aca="false">C29+C30+C31+C32+C33</f>
        <v>83389238.18</v>
      </c>
      <c r="D34" s="42" t="n">
        <f aca="false">D29+D30+D31+D32+D33</f>
        <v>69677989.62</v>
      </c>
      <c r="E34" s="43" t="n">
        <f aca="false">C34/$B$3</f>
        <v>83.38923818</v>
      </c>
      <c r="F34" s="43" t="n">
        <f aca="false">D34/$B$3</f>
        <v>69.67798962</v>
      </c>
      <c r="G34" s="43" t="n">
        <f aca="false">E34-F34</f>
        <v>13.71124856</v>
      </c>
      <c r="H34" s="44" t="n">
        <f aca="false">IF(F34=0,"n/a",E34/F34-1)</f>
        <v>0.196780197516841</v>
      </c>
    </row>
    <row r="35" customFormat="false" ht="15" hidden="false" customHeight="true" outlineLevel="0" collapsed="false">
      <c r="A35" s="7" t="s">
        <v>235</v>
      </c>
      <c r="B35" s="36" t="s">
        <v>236</v>
      </c>
      <c r="C35" s="37" t="n">
        <v>670547.24</v>
      </c>
      <c r="D35" s="37" t="n">
        <v>831069.66</v>
      </c>
      <c r="E35" s="38" t="n">
        <f aca="false">C35/$B$3</f>
        <v>0.67054724</v>
      </c>
      <c r="F35" s="38" t="n">
        <f aca="false">D35/$B$3</f>
        <v>0.83106966</v>
      </c>
      <c r="G35" s="38" t="n">
        <f aca="false">E35-F35</f>
        <v>-0.16052242</v>
      </c>
      <c r="H35" s="39" t="n">
        <f aca="false">IF(F35=0,"n/a",E35/F35-1)</f>
        <v>-0.193151582503926</v>
      </c>
    </row>
    <row r="36" customFormat="false" ht="15" hidden="false" customHeight="true" outlineLevel="0" collapsed="false">
      <c r="A36" s="49" t="s">
        <v>237</v>
      </c>
      <c r="B36" s="50"/>
      <c r="C36" s="51" t="n">
        <f aca="false">C34+C35</f>
        <v>84059785.42</v>
      </c>
      <c r="D36" s="51" t="n">
        <f aca="false">D34+D35</f>
        <v>70509059.28</v>
      </c>
      <c r="E36" s="52" t="n">
        <f aca="false">C36/$B$3</f>
        <v>84.05978542</v>
      </c>
      <c r="F36" s="52" t="n">
        <f aca="false">D36/$B$3</f>
        <v>70.50905928</v>
      </c>
      <c r="G36" s="52" t="n">
        <f aca="false">E36-F36</f>
        <v>13.55072614</v>
      </c>
      <c r="H36" s="53" t="n">
        <f aca="false">IF(F36=0,"n/a",E36/F36-1)</f>
        <v>0.192184185668801</v>
      </c>
    </row>
    <row r="37" customFormat="false" ht="15" hidden="false" customHeight="true" outlineLevel="0" collapsed="false">
      <c r="A37" s="5" t="s">
        <v>238</v>
      </c>
      <c r="B37" s="6"/>
      <c r="C37" s="6"/>
      <c r="D37" s="6"/>
      <c r="E37" s="6"/>
      <c r="F37" s="6"/>
      <c r="G37" s="6"/>
      <c r="H37" s="6"/>
    </row>
    <row r="38" customFormat="false" ht="15" hidden="false" customHeight="true" outlineLevel="0" collapsed="false">
      <c r="A38" s="7" t="s">
        <v>239</v>
      </c>
      <c r="B38" s="36" t="s">
        <v>240</v>
      </c>
      <c r="C38" s="37" t="n">
        <v>682992</v>
      </c>
      <c r="D38" s="37" t="n">
        <v>682992</v>
      </c>
      <c r="E38" s="38" t="n">
        <f aca="false">C38/$B$3</f>
        <v>0.682992</v>
      </c>
      <c r="F38" s="38" t="n">
        <f aca="false">D38/$B$3</f>
        <v>0.682992</v>
      </c>
      <c r="G38" s="38" t="n">
        <f aca="false">E38-F38</f>
        <v>0</v>
      </c>
      <c r="H38" s="39" t="n">
        <f aca="false">IF(F38=0,"n/a",E38/F38-1)</f>
        <v>0</v>
      </c>
    </row>
    <row r="39" customFormat="false" ht="15" hidden="false" customHeight="true" outlineLevel="0" collapsed="false">
      <c r="A39" s="7" t="s">
        <v>241</v>
      </c>
      <c r="B39" s="36" t="s">
        <v>240</v>
      </c>
      <c r="C39" s="37" t="n">
        <v>131013112.12</v>
      </c>
      <c r="D39" s="37" t="n">
        <v>118355224.13</v>
      </c>
      <c r="E39" s="38" t="n">
        <f aca="false">C39/$B$3</f>
        <v>131.01311212</v>
      </c>
      <c r="F39" s="38" t="n">
        <f aca="false">D39/$B$3</f>
        <v>118.35522413</v>
      </c>
      <c r="G39" s="38" t="n">
        <f aca="false">E39-F39</f>
        <v>12.65788799</v>
      </c>
      <c r="H39" s="39" t="n">
        <f aca="false">IF(F39=0,"n/a",E39/F39-1)</f>
        <v>0.106948282875091</v>
      </c>
    </row>
    <row r="40" customFormat="false" ht="15" hidden="false" customHeight="true" outlineLevel="0" collapsed="false">
      <c r="A40" s="7" t="s">
        <v>242</v>
      </c>
      <c r="B40" s="36"/>
      <c r="C40" s="37" t="n">
        <v>5890950.16</v>
      </c>
      <c r="D40" s="37" t="n">
        <v>615646.04</v>
      </c>
      <c r="E40" s="38" t="n">
        <f aca="false">C40/$B$3</f>
        <v>5.89095016</v>
      </c>
      <c r="F40" s="38" t="n">
        <f aca="false">D40/$B$3</f>
        <v>0.61564604</v>
      </c>
      <c r="G40" s="38" t="n">
        <f aca="false">E40-F40</f>
        <v>5.27530412</v>
      </c>
      <c r="H40" s="39" t="n">
        <f aca="false">IF(F40=0,"n/a",E40/F40-1)</f>
        <v>8.56872907035998</v>
      </c>
    </row>
    <row r="41" customFormat="false" ht="15" hidden="false" customHeight="true" outlineLevel="0" collapsed="false">
      <c r="A41" s="40" t="s">
        <v>243</v>
      </c>
      <c r="B41" s="45"/>
      <c r="C41" s="42" t="n">
        <f aca="false">C38+C39+C40</f>
        <v>137587054.28</v>
      </c>
      <c r="D41" s="42" t="n">
        <f aca="false">D38+D39+D40</f>
        <v>119653862.17</v>
      </c>
      <c r="E41" s="43" t="n">
        <f aca="false">C41/$B$3</f>
        <v>137.58705428</v>
      </c>
      <c r="F41" s="43" t="n">
        <f aca="false">D41/$B$3</f>
        <v>119.65386217</v>
      </c>
      <c r="G41" s="43" t="n">
        <f aca="false">E41-F41</f>
        <v>17.93319211</v>
      </c>
      <c r="H41" s="44" t="n">
        <f aca="false">IF(F41=0,"n/a",E41/F41-1)</f>
        <v>0.149875580986439</v>
      </c>
    </row>
    <row r="42" customFormat="false" ht="15" hidden="false" customHeight="true" outlineLevel="0" collapsed="false">
      <c r="A42" s="5" t="s">
        <v>244</v>
      </c>
      <c r="B42" s="6"/>
      <c r="C42" s="6"/>
      <c r="D42" s="6"/>
      <c r="E42" s="6"/>
      <c r="F42" s="6"/>
      <c r="G42" s="6"/>
      <c r="H42" s="6"/>
    </row>
    <row r="43" customFormat="false" ht="15" hidden="false" customHeight="true" outlineLevel="0" collapsed="false">
      <c r="A43" s="7" t="s">
        <v>245</v>
      </c>
      <c r="B43" s="36" t="s">
        <v>240</v>
      </c>
      <c r="C43" s="37" t="n">
        <v>2837770.9</v>
      </c>
      <c r="D43" s="37" t="n">
        <v>3754920.04</v>
      </c>
      <c r="E43" s="38" t="n">
        <f aca="false">C43/$B$3</f>
        <v>2.8377709</v>
      </c>
      <c r="F43" s="38" t="n">
        <f aca="false">D43/$B$3</f>
        <v>3.75492004</v>
      </c>
      <c r="G43" s="38" t="n">
        <f aca="false">E43-F43</f>
        <v>-0.91714914</v>
      </c>
      <c r="H43" s="39" t="n">
        <f aca="false">IF(F43=0,"n/a",E43/F43-1)</f>
        <v>-0.244252641928428</v>
      </c>
    </row>
    <row r="44" customFormat="false" ht="15" hidden="false" customHeight="true" outlineLevel="0" collapsed="false">
      <c r="A44" s="13" t="s">
        <v>246</v>
      </c>
      <c r="B44" s="36"/>
      <c r="C44" s="37" t="n">
        <v>38722906.19</v>
      </c>
      <c r="D44" s="37" t="n">
        <v>37859775.67</v>
      </c>
      <c r="E44" s="38" t="n">
        <f aca="false">C44/$B$3</f>
        <v>38.72290619</v>
      </c>
      <c r="F44" s="38" t="n">
        <f aca="false">D44/$B$3</f>
        <v>37.85977567</v>
      </c>
      <c r="G44" s="38" t="n">
        <f aca="false">E44-F44</f>
        <v>0.863130519999992</v>
      </c>
      <c r="H44" s="39" t="n">
        <f aca="false">IF(F44=0,"n/a",E44/F44-1)</f>
        <v>0.0227980885973378</v>
      </c>
    </row>
    <row r="45" customFormat="false" ht="15" hidden="false" customHeight="true" outlineLevel="0" collapsed="false">
      <c r="A45" s="13" t="s">
        <v>247</v>
      </c>
      <c r="B45" s="36"/>
      <c r="C45" s="37" t="n">
        <v>46013255.5</v>
      </c>
      <c r="D45" s="37" t="n">
        <v>47435014.31</v>
      </c>
      <c r="E45" s="38" t="n">
        <f aca="false">C45/$B$3</f>
        <v>46.0132555</v>
      </c>
      <c r="F45" s="38" t="n">
        <f aca="false">D45/$B$3</f>
        <v>47.43501431</v>
      </c>
      <c r="G45" s="38" t="n">
        <f aca="false">E45-F45</f>
        <v>-1.42175881</v>
      </c>
      <c r="H45" s="39" t="n">
        <f aca="false">IF(F45=0,"n/a",E45/F45-1)</f>
        <v>-0.0299727707618773</v>
      </c>
    </row>
    <row r="46" customFormat="false" ht="15" hidden="false" customHeight="true" outlineLevel="0" collapsed="false">
      <c r="A46" s="13" t="s">
        <v>248</v>
      </c>
      <c r="B46" s="36" t="s">
        <v>249</v>
      </c>
      <c r="C46" s="37" t="n">
        <v>14490108.4</v>
      </c>
      <c r="D46" s="37" t="n">
        <v>5164303.97</v>
      </c>
      <c r="E46" s="38" t="n">
        <f aca="false">C46/$B$3</f>
        <v>14.4901084</v>
      </c>
      <c r="F46" s="38" t="n">
        <f aca="false">D46/$B$3</f>
        <v>5.16430397</v>
      </c>
      <c r="G46" s="38" t="n">
        <f aca="false">E46-F46</f>
        <v>9.32580443</v>
      </c>
      <c r="H46" s="39" t="n">
        <f aca="false">IF(F46=0,"n/a",E46/F46-1)</f>
        <v>1.80582020039382</v>
      </c>
    </row>
    <row r="47" customFormat="false" ht="15" hidden="false" customHeight="true" outlineLevel="0" collapsed="false">
      <c r="A47" s="40" t="s">
        <v>250</v>
      </c>
      <c r="B47" s="45"/>
      <c r="C47" s="42" t="n">
        <f aca="false">C44+C45+C46</f>
        <v>99226270.09</v>
      </c>
      <c r="D47" s="42" t="n">
        <f aca="false">D44+D45+D46</f>
        <v>90459093.95</v>
      </c>
      <c r="E47" s="43" t="n">
        <f aca="false">C47/$B$3</f>
        <v>99.22627009</v>
      </c>
      <c r="F47" s="43" t="n">
        <f aca="false">D47/$B$3</f>
        <v>90.45909395</v>
      </c>
      <c r="G47" s="43" t="n">
        <f aca="false">E47-F47</f>
        <v>8.76717614</v>
      </c>
      <c r="H47" s="44" t="n">
        <f aca="false">IF(F47=0,"n/a",E47/F47-1)</f>
        <v>0.0969186817728458</v>
      </c>
    </row>
    <row r="48" customFormat="false" ht="15" hidden="false" customHeight="true" outlineLevel="0" collapsed="false">
      <c r="A48" s="7" t="s">
        <v>221</v>
      </c>
      <c r="B48" s="36"/>
      <c r="C48" s="37" t="n">
        <v>2124161.4</v>
      </c>
      <c r="D48" s="37" t="n">
        <v>174326.09</v>
      </c>
      <c r="E48" s="38" t="n">
        <f aca="false">C48/$B$3</f>
        <v>2.1241614</v>
      </c>
      <c r="F48" s="38" t="n">
        <f aca="false">D48/$B$3</f>
        <v>0.17432609</v>
      </c>
      <c r="G48" s="38" t="n">
        <f aca="false">E48-F48</f>
        <v>1.94983531</v>
      </c>
      <c r="H48" s="39" t="n">
        <f aca="false">IF(F48=0,"n/a",E48/F48-1)</f>
        <v>11.1849884891011</v>
      </c>
    </row>
    <row r="49" customFormat="false" ht="15" hidden="false" customHeight="true" outlineLevel="0" collapsed="false">
      <c r="A49" s="40" t="s">
        <v>251</v>
      </c>
      <c r="B49" s="45"/>
      <c r="C49" s="42" t="n">
        <f aca="false">C43+C47+C48</f>
        <v>104188202.39</v>
      </c>
      <c r="D49" s="42" t="n">
        <f aca="false">D43+D47+D48</f>
        <v>94388340.08</v>
      </c>
      <c r="E49" s="43" t="n">
        <f aca="false">C49/$B$3</f>
        <v>104.18820239</v>
      </c>
      <c r="F49" s="43" t="n">
        <f aca="false">D49/$B$3</f>
        <v>94.38834008</v>
      </c>
      <c r="G49" s="43" t="n">
        <f aca="false">E49-F49</f>
        <v>9.79986231000001</v>
      </c>
      <c r="H49" s="44" t="n">
        <f aca="false">IF(F49=0,"n/a",E49/F49-1)</f>
        <v>0.103824924791495</v>
      </c>
    </row>
    <row r="50" customFormat="false" ht="15" hidden="false" customHeight="true" outlineLevel="0" collapsed="false">
      <c r="A50" s="49" t="s">
        <v>252</v>
      </c>
      <c r="B50" s="50"/>
      <c r="C50" s="51" t="n">
        <f aca="false">C36+C41+C49</f>
        <v>325835042.09</v>
      </c>
      <c r="D50" s="51" t="n">
        <f aca="false">D36+D41+D49</f>
        <v>284551261.53</v>
      </c>
      <c r="E50" s="52" t="n">
        <f aca="false">C50/$B$3</f>
        <v>325.83504209</v>
      </c>
      <c r="F50" s="52" t="n">
        <f aca="false">D50/$B$3</f>
        <v>284.55126153</v>
      </c>
      <c r="G50" s="52" t="n">
        <f aca="false">E50-F50</f>
        <v>41.2837805600001</v>
      </c>
      <c r="H50" s="53" t="n">
        <f aca="false">IF(F50=0,"n/a",E50/F50-1)</f>
        <v>0.145083807880597</v>
      </c>
    </row>
    <row r="52" customFormat="false" ht="15" hidden="false" customHeight="true" outlineLevel="0" collapsed="false">
      <c r="A52" s="5" t="s">
        <v>253</v>
      </c>
      <c r="B52" s="6"/>
      <c r="C52" s="6"/>
      <c r="D52" s="6"/>
      <c r="E52" s="6"/>
      <c r="F52" s="6"/>
      <c r="G52" s="6"/>
      <c r="H52" s="6"/>
    </row>
    <row r="53" customFormat="false" ht="15" hidden="false" customHeight="true" outlineLevel="0" collapsed="false">
      <c r="A53" s="12" t="s">
        <v>254</v>
      </c>
      <c r="C53" s="26" t="n">
        <v>325835042.09</v>
      </c>
      <c r="D53" s="26" t="n">
        <v>284551261.53</v>
      </c>
    </row>
    <row r="54" customFormat="false" ht="15" hidden="false" customHeight="true" outlineLevel="0" collapsed="false">
      <c r="A54" s="12" t="s">
        <v>255</v>
      </c>
      <c r="C54" s="54" t="n">
        <f aca="false">ROUND(C25-C53,2)</f>
        <v>0</v>
      </c>
      <c r="D54" s="54" t="n">
        <f aca="false">ROUND(D25-D53,2)</f>
        <v>0</v>
      </c>
    </row>
    <row r="55" customFormat="false" ht="15" hidden="false" customHeight="true" outlineLevel="0" collapsed="false">
      <c r="A55" s="12" t="s">
        <v>256</v>
      </c>
      <c r="C55" s="54" t="n">
        <f aca="false">ROUND(C25-C50,2)</f>
        <v>0</v>
      </c>
      <c r="D55" s="54" t="n">
        <f aca="false">ROUND(D25-D50,2)</f>
        <v>0</v>
      </c>
    </row>
    <row r="56" customFormat="false" ht="15" hidden="false" customHeight="true" outlineLevel="0" collapsed="false">
      <c r="A56" s="10" t="s">
        <v>83</v>
      </c>
      <c r="C56" s="55" t="str">
        <f aca="false">IF(AND(C54=0,C55=0),"OK","REVISAR")</f>
        <v>OK</v>
      </c>
      <c r="D56" s="55" t="str">
        <f aca="false">IF(AND(D54=0,D55=0),"OK","REVISAR")</f>
        <v>OK</v>
      </c>
    </row>
    <row r="58" customFormat="false" ht="15" hidden="false" customHeight="true" outlineLevel="0" collapsed="false">
      <c r="A58" s="5" t="s">
        <v>257</v>
      </c>
      <c r="B58" s="6"/>
      <c r="C58" s="6"/>
      <c r="D58" s="6"/>
      <c r="E58" s="6"/>
      <c r="F58" s="6"/>
      <c r="G58" s="6"/>
      <c r="H58" s="6"/>
    </row>
    <row r="59" customFormat="false" ht="15" hidden="false" customHeight="true" outlineLevel="0" collapsed="false">
      <c r="A59" s="12" t="s">
        <v>258</v>
      </c>
      <c r="C59" s="39" t="n">
        <f aca="false">C36/C25</f>
        <v>0.257982643244312</v>
      </c>
      <c r="D59" s="39" t="n">
        <f aca="false">D36/D25</f>
        <v>0.247790359110976</v>
      </c>
    </row>
    <row r="60" customFormat="false" ht="15" hidden="false" customHeight="true" outlineLevel="0" collapsed="false">
      <c r="A60" s="12" t="s">
        <v>259</v>
      </c>
      <c r="C60" s="56" t="n">
        <f aca="false">C24/C49</f>
        <v>1.49223500812528</v>
      </c>
      <c r="D60" s="56" t="n">
        <f aca="false">D24/D49</f>
        <v>1.39768084403418</v>
      </c>
    </row>
    <row r="61" customFormat="false" ht="15" hidden="false" customHeight="true" outlineLevel="0" collapsed="false">
      <c r="A61" s="12" t="s">
        <v>260</v>
      </c>
      <c r="C61" s="38" t="n">
        <f aca="false">(C24-C49)/$B$3</f>
        <v>51.28508065</v>
      </c>
      <c r="D61" s="38" t="n">
        <f aca="false">(D24-D49)/$B$3</f>
        <v>37.53643475</v>
      </c>
    </row>
    <row r="62" customFormat="false" ht="15" hidden="false" customHeight="true" outlineLevel="0" collapsed="false">
      <c r="A62" s="12" t="s">
        <v>261</v>
      </c>
      <c r="C62" s="38" t="n">
        <f aca="false">(C39+C43)/$B$3</f>
        <v>133.85088302</v>
      </c>
      <c r="D62" s="38" t="n">
        <f aca="false">(D39+D43)/$B$3</f>
        <v>122.11014417</v>
      </c>
    </row>
    <row r="63" customFormat="false" ht="15" hidden="false" customHeight="true" outlineLevel="0" collapsed="false">
      <c r="A63" s="12" t="s">
        <v>262</v>
      </c>
      <c r="C63" s="38" t="n">
        <f aca="false">(C39+C43-C23)/$B$3</f>
        <v>116.26318729</v>
      </c>
      <c r="D63" s="38" t="n">
        <f aca="false">(D39+D43-D23)/$B$3</f>
        <v>74.49335544</v>
      </c>
    </row>
    <row r="64" customFormat="false" ht="15" hidden="false" customHeight="true" outlineLevel="0" collapsed="false">
      <c r="A64" s="3" t="s">
        <v>263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6"/>
    <col collapsed="false" customWidth="true" hidden="false" outlineLevel="0" max="2" min="2" style="1" width="8"/>
    <col collapsed="false" customWidth="true" hidden="false" outlineLevel="0" max="4" min="3" style="1" width="18"/>
    <col collapsed="false" customWidth="true" hidden="false" outlineLevel="0" max="6" min="5" style="1" width="13"/>
    <col collapsed="false" customWidth="true" hidden="false" outlineLevel="0" max="7" min="7" style="1" width="12"/>
    <col collapsed="false" customWidth="true" hidden="false" outlineLevel="0" max="8" min="8" style="1" width="11"/>
  </cols>
  <sheetData>
    <row r="1" customFormat="false" ht="17.25" hidden="false" customHeight="true" outlineLevel="0" collapsed="false">
      <c r="A1" s="2" t="s">
        <v>264</v>
      </c>
    </row>
    <row r="2" customFormat="false" ht="15" hidden="false" customHeight="true" outlineLevel="0" collapsed="false">
      <c r="A2" s="3" t="s">
        <v>265</v>
      </c>
    </row>
    <row r="3" customFormat="false" ht="15" hidden="false" customHeight="true" outlineLevel="0" collapsed="false">
      <c r="A3" s="10" t="s">
        <v>266</v>
      </c>
      <c r="B3" s="57" t="n">
        <f aca="false">Balance!$B$3</f>
        <v>1000000</v>
      </c>
    </row>
    <row r="4" customFormat="false" ht="15" hidden="false" customHeight="true" outlineLevel="0" collapsed="false">
      <c r="A4" s="3" t="s">
        <v>267</v>
      </c>
    </row>
    <row r="6" customFormat="false" ht="15" hidden="false" customHeight="true" outlineLevel="0" collapsed="false">
      <c r="A6" s="58" t="s">
        <v>2</v>
      </c>
      <c r="B6" s="59" t="s">
        <v>193</v>
      </c>
      <c r="C6" s="59" t="s">
        <v>194</v>
      </c>
      <c r="D6" s="59" t="s">
        <v>195</v>
      </c>
      <c r="E6" s="59" t="s">
        <v>196</v>
      </c>
      <c r="F6" s="59" t="s">
        <v>197</v>
      </c>
      <c r="G6" s="59" t="s">
        <v>198</v>
      </c>
      <c r="H6" s="59" t="s">
        <v>199</v>
      </c>
    </row>
    <row r="7" customFormat="false" ht="15" hidden="false" customHeight="true" outlineLevel="0" collapsed="false">
      <c r="A7" s="5" t="s">
        <v>268</v>
      </c>
      <c r="B7" s="6"/>
      <c r="C7" s="6"/>
      <c r="D7" s="6"/>
      <c r="E7" s="6"/>
      <c r="F7" s="6"/>
      <c r="G7" s="6"/>
      <c r="H7" s="6"/>
    </row>
    <row r="8" customFormat="false" ht="15" hidden="false" customHeight="true" outlineLevel="0" collapsed="false">
      <c r="A8" s="9" t="s">
        <v>269</v>
      </c>
      <c r="B8" s="36" t="s">
        <v>270</v>
      </c>
      <c r="C8" s="37" t="n">
        <v>95437900.05</v>
      </c>
      <c r="D8" s="37" t="n">
        <v>119721562.42</v>
      </c>
      <c r="E8" s="38" t="n">
        <f aca="false">C8/$B$3</f>
        <v>95.43790005</v>
      </c>
      <c r="F8" s="38" t="n">
        <f aca="false">D8/$B$3</f>
        <v>119.72156242</v>
      </c>
      <c r="G8" s="38" t="n">
        <f aca="false">E8-F8</f>
        <v>-24.28366237</v>
      </c>
      <c r="H8" s="39" t="n">
        <f aca="false">IF(F8=0,"n/a",IF(F8&lt;0,"n/a",E8/F8-1))</f>
        <v>-0.202834492627231</v>
      </c>
    </row>
    <row r="9" customFormat="false" ht="15" hidden="false" customHeight="true" outlineLevel="0" collapsed="false">
      <c r="A9" s="49" t="s">
        <v>271</v>
      </c>
      <c r="B9" s="50"/>
      <c r="C9" s="51" t="n">
        <f aca="false">C8</f>
        <v>95437900.05</v>
      </c>
      <c r="D9" s="51" t="n">
        <f aca="false">D8</f>
        <v>119721562.42</v>
      </c>
      <c r="E9" s="52" t="n">
        <f aca="false">C9/$B$3</f>
        <v>95.43790005</v>
      </c>
      <c r="F9" s="52" t="n">
        <f aca="false">D9/$B$3</f>
        <v>119.72156242</v>
      </c>
      <c r="G9" s="52" t="n">
        <f aca="false">E9-F9</f>
        <v>-24.28366237</v>
      </c>
      <c r="H9" s="53" t="n">
        <f aca="false">IF(F9=0,"n/a",IF(F9&lt;0,"n/a",E9/F9-1))</f>
        <v>-0.202834492627231</v>
      </c>
    </row>
    <row r="10" customFormat="false" ht="15" hidden="false" customHeight="true" outlineLevel="0" collapsed="false">
      <c r="A10" s="9" t="s">
        <v>272</v>
      </c>
      <c r="B10" s="36"/>
      <c r="C10" s="37" t="n">
        <v>-2789864.91</v>
      </c>
      <c r="D10" s="37" t="n">
        <v>-3451601.18</v>
      </c>
      <c r="E10" s="38" t="n">
        <f aca="false">C10/$B$3</f>
        <v>-2.78986491</v>
      </c>
      <c r="F10" s="38" t="n">
        <f aca="false">D10/$B$3</f>
        <v>-3.45160118</v>
      </c>
      <c r="G10" s="38" t="n">
        <f aca="false">E10-F10</f>
        <v>0.66173627</v>
      </c>
      <c r="H10" s="39" t="str">
        <f aca="false">IF(F10=0,"n/a",IF(F10&lt;0,"n/a",E10/F10-1))</f>
        <v>n/a</v>
      </c>
    </row>
    <row r="11" customFormat="false" ht="15" hidden="false" customHeight="true" outlineLevel="0" collapsed="false">
      <c r="A11" s="9" t="s">
        <v>273</v>
      </c>
      <c r="B11" s="36"/>
      <c r="C11" s="37" t="n">
        <v>-2206137.84</v>
      </c>
      <c r="D11" s="37" t="n">
        <v>-2090513.85</v>
      </c>
      <c r="E11" s="38" t="n">
        <f aca="false">C11/$B$3</f>
        <v>-2.20613784</v>
      </c>
      <c r="F11" s="38" t="n">
        <f aca="false">D11/$B$3</f>
        <v>-2.09051385</v>
      </c>
      <c r="G11" s="38" t="n">
        <f aca="false">E11-F11</f>
        <v>-0.11562399</v>
      </c>
      <c r="H11" s="39" t="str">
        <f aca="false">IF(F11=0,"n/a",IF(F11&lt;0,"n/a",E11/F11-1))</f>
        <v>n/a</v>
      </c>
    </row>
    <row r="12" customFormat="false" ht="15" hidden="false" customHeight="true" outlineLevel="0" collapsed="false">
      <c r="A12" s="40" t="s">
        <v>274</v>
      </c>
      <c r="B12" s="45"/>
      <c r="C12" s="42" t="n">
        <f aca="false">C10+C11</f>
        <v>-4996002.75</v>
      </c>
      <c r="D12" s="42" t="n">
        <f aca="false">D10+D11</f>
        <v>-5542115.03</v>
      </c>
      <c r="E12" s="43" t="n">
        <f aca="false">C12/$B$3</f>
        <v>-4.99600275</v>
      </c>
      <c r="F12" s="43" t="n">
        <f aca="false">D12/$B$3</f>
        <v>-5.54211503</v>
      </c>
      <c r="G12" s="43" t="n">
        <f aca="false">E12-F12</f>
        <v>0.546112280000001</v>
      </c>
      <c r="H12" s="44" t="str">
        <f aca="false">IF(F12=0,"n/a",IF(F12&lt;0,"n/a",E12/F12-1))</f>
        <v>n/a</v>
      </c>
    </row>
    <row r="13" customFormat="false" ht="15" hidden="false" customHeight="true" outlineLevel="0" collapsed="false">
      <c r="A13" s="9" t="s">
        <v>275</v>
      </c>
      <c r="B13" s="36" t="s">
        <v>276</v>
      </c>
      <c r="C13" s="37" t="n">
        <v>4981098.31</v>
      </c>
      <c r="D13" s="37" t="n">
        <v>8065653.7</v>
      </c>
      <c r="E13" s="38" t="n">
        <f aca="false">C13/$B$3</f>
        <v>4.98109831</v>
      </c>
      <c r="F13" s="38" t="n">
        <f aca="false">D13/$B$3</f>
        <v>8.0656537</v>
      </c>
      <c r="G13" s="38" t="n">
        <f aca="false">E13-F13</f>
        <v>-3.08455539</v>
      </c>
      <c r="H13" s="39" t="n">
        <f aca="false">IF(F13=0,"n/a",IF(F13&lt;0,"n/a",E13/F13-1))</f>
        <v>-0.382430923112903</v>
      </c>
    </row>
    <row r="14" customFormat="false" ht="15" hidden="false" customHeight="true" outlineLevel="0" collapsed="false">
      <c r="A14" s="9" t="s">
        <v>277</v>
      </c>
      <c r="B14" s="36" t="s">
        <v>236</v>
      </c>
      <c r="C14" s="37" t="n">
        <v>640985.56</v>
      </c>
      <c r="D14" s="37" t="n">
        <v>498679.89</v>
      </c>
      <c r="E14" s="38" t="n">
        <f aca="false">C14/$B$3</f>
        <v>0.64098556</v>
      </c>
      <c r="F14" s="38" t="n">
        <f aca="false">D14/$B$3</f>
        <v>0.49867989</v>
      </c>
      <c r="G14" s="38" t="n">
        <f aca="false">E14-F14</f>
        <v>0.14230567</v>
      </c>
      <c r="H14" s="39" t="n">
        <f aca="false">IF(F14=0,"n/a",IF(F14&lt;0,"n/a",E14/F14-1))</f>
        <v>0.28536476576186</v>
      </c>
    </row>
    <row r="15" customFormat="false" ht="15" hidden="false" customHeight="true" outlineLevel="0" collapsed="false">
      <c r="A15" s="40" t="s">
        <v>278</v>
      </c>
      <c r="B15" s="45"/>
      <c r="C15" s="42" t="n">
        <f aca="false">C13+C14</f>
        <v>5622083.87</v>
      </c>
      <c r="D15" s="42" t="n">
        <f aca="false">D13+D14</f>
        <v>8564333.59</v>
      </c>
      <c r="E15" s="43" t="n">
        <f aca="false">C15/$B$3</f>
        <v>5.62208387</v>
      </c>
      <c r="F15" s="43" t="n">
        <f aca="false">D15/$B$3</f>
        <v>8.56433359</v>
      </c>
      <c r="G15" s="43" t="n">
        <f aca="false">E15-F15</f>
        <v>-2.94224972</v>
      </c>
      <c r="H15" s="44" t="n">
        <f aca="false">IF(F15=0,"n/a",IF(F15&lt;0,"n/a",E15/F15-1))</f>
        <v>-0.343546837483709</v>
      </c>
    </row>
    <row r="16" customFormat="false" ht="15" hidden="false" customHeight="true" outlineLevel="0" collapsed="false">
      <c r="A16" s="9" t="s">
        <v>279</v>
      </c>
      <c r="B16" s="36"/>
      <c r="C16" s="37" t="n">
        <v>-109905656.52</v>
      </c>
      <c r="D16" s="37" t="n">
        <v>-104299544.5</v>
      </c>
      <c r="E16" s="38" t="n">
        <f aca="false">C16/$B$3</f>
        <v>-109.90565652</v>
      </c>
      <c r="F16" s="38" t="n">
        <f aca="false">D16/$B$3</f>
        <v>-104.2995445</v>
      </c>
      <c r="G16" s="38" t="n">
        <f aca="false">E16-F16</f>
        <v>-5.60611202</v>
      </c>
      <c r="H16" s="39" t="str">
        <f aca="false">IF(F16=0,"n/a",IF(F16&lt;0,"n/a",E16/F16-1))</f>
        <v>n/a</v>
      </c>
    </row>
    <row r="17" customFormat="false" ht="15" hidden="false" customHeight="true" outlineLevel="0" collapsed="false">
      <c r="A17" s="9" t="s">
        <v>280</v>
      </c>
      <c r="B17" s="36"/>
      <c r="C17" s="37" t="n">
        <v>-4161486.01</v>
      </c>
      <c r="D17" s="37" t="n">
        <v>-3789526.47</v>
      </c>
      <c r="E17" s="38" t="n">
        <f aca="false">C17/$B$3</f>
        <v>-4.16148601</v>
      </c>
      <c r="F17" s="38" t="n">
        <f aca="false">D17/$B$3</f>
        <v>-3.78952647</v>
      </c>
      <c r="G17" s="38" t="n">
        <f aca="false">E17-F17</f>
        <v>-0.37195954</v>
      </c>
      <c r="H17" s="39" t="str">
        <f aca="false">IF(F17=0,"n/a",IF(F17&lt;0,"n/a",E17/F17-1))</f>
        <v>n/a</v>
      </c>
    </row>
    <row r="18" customFormat="false" ht="15" hidden="false" customHeight="true" outlineLevel="0" collapsed="false">
      <c r="A18" s="49" t="s">
        <v>281</v>
      </c>
      <c r="B18" s="60" t="s">
        <v>282</v>
      </c>
      <c r="C18" s="51" t="n">
        <f aca="false">C16+C17</f>
        <v>-114067142.53</v>
      </c>
      <c r="D18" s="51" t="n">
        <f aca="false">D16+D17</f>
        <v>-108089070.97</v>
      </c>
      <c r="E18" s="52" t="n">
        <f aca="false">C18/$B$3</f>
        <v>-114.06714253</v>
      </c>
      <c r="F18" s="52" t="n">
        <f aca="false">D18/$B$3</f>
        <v>-108.08907097</v>
      </c>
      <c r="G18" s="52" t="n">
        <f aca="false">E18-F18</f>
        <v>-5.97807156</v>
      </c>
      <c r="H18" s="53" t="str">
        <f aca="false">IF(F18=0,"n/a",IF(F18&lt;0,"n/a",E18/F18-1))</f>
        <v>n/a</v>
      </c>
    </row>
    <row r="19" customFormat="false" ht="15" hidden="false" customHeight="true" outlineLevel="0" collapsed="false">
      <c r="A19" s="9" t="s">
        <v>283</v>
      </c>
      <c r="B19" s="36" t="s">
        <v>284</v>
      </c>
      <c r="C19" s="37" t="n">
        <v>-19355601.55</v>
      </c>
      <c r="D19" s="37" t="n">
        <v>-21563437.51</v>
      </c>
      <c r="E19" s="38" t="n">
        <f aca="false">C19/$B$3</f>
        <v>-19.35560155</v>
      </c>
      <c r="F19" s="38" t="n">
        <f aca="false">D19/$B$3</f>
        <v>-21.56343751</v>
      </c>
      <c r="G19" s="38" t="n">
        <f aca="false">E19-F19</f>
        <v>2.20783596</v>
      </c>
      <c r="H19" s="39" t="str">
        <f aca="false">IF(F19=0,"n/a",IF(F19&lt;0,"n/a",E19/F19-1))</f>
        <v>n/a</v>
      </c>
    </row>
    <row r="20" customFormat="false" ht="15" hidden="false" customHeight="true" outlineLevel="0" collapsed="false">
      <c r="A20" s="9" t="s">
        <v>285</v>
      </c>
      <c r="B20" s="36" t="s">
        <v>286</v>
      </c>
      <c r="C20" s="37" t="n">
        <v>-35167.73</v>
      </c>
      <c r="D20" s="37" t="n">
        <v>-242449.94</v>
      </c>
      <c r="E20" s="38" t="n">
        <f aca="false">C20/$B$3</f>
        <v>-0.03516773</v>
      </c>
      <c r="F20" s="38" t="n">
        <f aca="false">D20/$B$3</f>
        <v>-0.24244994</v>
      </c>
      <c r="G20" s="38" t="n">
        <f aca="false">E20-F20</f>
        <v>0.20728221</v>
      </c>
      <c r="H20" s="39" t="str">
        <f aca="false">IF(F20=0,"n/a",IF(F20&lt;0,"n/a",E20/F20-1))</f>
        <v>n/a</v>
      </c>
    </row>
    <row r="21" customFormat="false" ht="15" hidden="false" customHeight="true" outlineLevel="0" collapsed="false">
      <c r="A21" s="9" t="s">
        <v>287</v>
      </c>
      <c r="B21" s="36" t="s">
        <v>288</v>
      </c>
      <c r="C21" s="37" t="n">
        <v>-4685.02</v>
      </c>
      <c r="D21" s="37" t="n">
        <v>1407.44</v>
      </c>
      <c r="E21" s="38" t="n">
        <f aca="false">C21/$B$3</f>
        <v>-0.00468502</v>
      </c>
      <c r="F21" s="38" t="n">
        <f aca="false">D21/$B$3</f>
        <v>0.00140744</v>
      </c>
      <c r="G21" s="38" t="n">
        <f aca="false">E21-F21</f>
        <v>-0.00609246</v>
      </c>
      <c r="H21" s="39" t="n">
        <f aca="false">IF(F21=0,"n/a",IF(F21&lt;0,"n/a",E21/F21-1))</f>
        <v>-4.32875291309043</v>
      </c>
    </row>
    <row r="22" customFormat="false" ht="15" hidden="false" customHeight="true" outlineLevel="0" collapsed="false">
      <c r="A22" s="9" t="s">
        <v>289</v>
      </c>
      <c r="B22" s="36"/>
      <c r="C22" s="37" t="n">
        <v>-5883821.7</v>
      </c>
      <c r="D22" s="37" t="n">
        <v>-6450324.76</v>
      </c>
      <c r="E22" s="38" t="n">
        <f aca="false">C22/$B$3</f>
        <v>-5.8838217</v>
      </c>
      <c r="F22" s="38" t="n">
        <f aca="false">D22/$B$3</f>
        <v>-6.45032476</v>
      </c>
      <c r="G22" s="38" t="n">
        <f aca="false">E22-F22</f>
        <v>0.56650306</v>
      </c>
      <c r="H22" s="39" t="str">
        <f aca="false">IF(F22=0,"n/a",IF(F22&lt;0,"n/a",E22/F22-1))</f>
        <v>n/a</v>
      </c>
    </row>
    <row r="23" customFormat="false" ht="15" hidden="false" customHeight="true" outlineLevel="0" collapsed="false">
      <c r="A23" s="40" t="s">
        <v>290</v>
      </c>
      <c r="B23" s="45"/>
      <c r="C23" s="42" t="n">
        <f aca="false">C19+C20+C21+C22</f>
        <v>-25279276</v>
      </c>
      <c r="D23" s="42" t="n">
        <f aca="false">D19+D20+D21+D22</f>
        <v>-28254804.77</v>
      </c>
      <c r="E23" s="43" t="n">
        <f aca="false">C23/$B$3</f>
        <v>-25.279276</v>
      </c>
      <c r="F23" s="43" t="n">
        <f aca="false">D23/$B$3</f>
        <v>-28.25480477</v>
      </c>
      <c r="G23" s="43" t="n">
        <f aca="false">E23-F23</f>
        <v>2.97552877</v>
      </c>
      <c r="H23" s="44" t="str">
        <f aca="false">IF(F23=0,"n/a",IF(F23&lt;0,"n/a",E23/F23-1))</f>
        <v>n/a</v>
      </c>
    </row>
    <row r="24" customFormat="false" ht="15" hidden="false" customHeight="true" outlineLevel="0" collapsed="false">
      <c r="A24" s="10" t="s">
        <v>291</v>
      </c>
      <c r="B24" s="36" t="s">
        <v>292</v>
      </c>
      <c r="C24" s="37" t="n">
        <v>-30177035.07</v>
      </c>
      <c r="D24" s="37" t="n">
        <v>-27897704.51</v>
      </c>
      <c r="E24" s="38" t="n">
        <f aca="false">C24/$B$3</f>
        <v>-30.17703507</v>
      </c>
      <c r="F24" s="38" t="n">
        <f aca="false">D24/$B$3</f>
        <v>-27.89770451</v>
      </c>
      <c r="G24" s="38" t="n">
        <f aca="false">E24-F24</f>
        <v>-2.27933056</v>
      </c>
      <c r="H24" s="39" t="str">
        <f aca="false">IF(F24=0,"n/a",IF(F24&lt;0,"n/a",E24/F24-1))</f>
        <v>n/a</v>
      </c>
    </row>
    <row r="25" customFormat="false" ht="15" hidden="false" customHeight="true" outlineLevel="0" collapsed="false">
      <c r="A25" s="9" t="s">
        <v>293</v>
      </c>
      <c r="B25" s="36"/>
      <c r="C25" s="37" t="n">
        <v>0</v>
      </c>
      <c r="D25" s="37" t="n">
        <v>1675925.9</v>
      </c>
      <c r="E25" s="38" t="n">
        <f aca="false">C25/$B$3</f>
        <v>0</v>
      </c>
      <c r="F25" s="38" t="n">
        <f aca="false">D25/$B$3</f>
        <v>1.6759259</v>
      </c>
      <c r="G25" s="38" t="n">
        <f aca="false">E25-F25</f>
        <v>-1.6759259</v>
      </c>
      <c r="H25" s="39" t="n">
        <f aca="false">IF(F25=0,"n/a",IF(F25&lt;0,"n/a",E25/F25-1))</f>
        <v>-1</v>
      </c>
    </row>
    <row r="26" customFormat="false" ht="15" hidden="false" customHeight="true" outlineLevel="0" collapsed="false">
      <c r="A26" s="9" t="s">
        <v>294</v>
      </c>
      <c r="B26" s="36"/>
      <c r="C26" s="37" t="n">
        <v>94720418.5</v>
      </c>
      <c r="D26" s="37" t="n">
        <v>24749907.89</v>
      </c>
      <c r="E26" s="38" t="n">
        <f aca="false">C26/$B$3</f>
        <v>94.7204185</v>
      </c>
      <c r="F26" s="38" t="n">
        <f aca="false">D26/$B$3</f>
        <v>24.74990789</v>
      </c>
      <c r="G26" s="38" t="n">
        <f aca="false">E26-F26</f>
        <v>69.97051061</v>
      </c>
      <c r="H26" s="39" t="n">
        <f aca="false">IF(F26=0,"n/a",IF(F26&lt;0,"n/a",E26/F26-1))</f>
        <v>2.82710185916575</v>
      </c>
    </row>
    <row r="27" customFormat="false" ht="15" hidden="false" customHeight="true" outlineLevel="0" collapsed="false">
      <c r="A27" s="9" t="s">
        <v>295</v>
      </c>
      <c r="B27" s="36"/>
      <c r="C27" s="37" t="n">
        <v>-1980416.11</v>
      </c>
      <c r="D27" s="37" t="n">
        <v>0</v>
      </c>
      <c r="E27" s="38" t="n">
        <f aca="false">C27/$B$3</f>
        <v>-1.98041611</v>
      </c>
      <c r="F27" s="38" t="n">
        <f aca="false">D27/$B$3</f>
        <v>0</v>
      </c>
      <c r="G27" s="38" t="n">
        <f aca="false">E27-F27</f>
        <v>-1.98041611</v>
      </c>
      <c r="H27" s="39" t="str">
        <f aca="false">IF(F27=0,"n/a",IF(F27&lt;0,"n/a",E27/F27-1))</f>
        <v>n/a</v>
      </c>
    </row>
    <row r="28" customFormat="false" ht="15" hidden="false" customHeight="true" outlineLevel="0" collapsed="false">
      <c r="A28" s="49" t="s">
        <v>296</v>
      </c>
      <c r="B28" s="50"/>
      <c r="C28" s="51" t="n">
        <f aca="false">C25+C26+C27</f>
        <v>92740002.39</v>
      </c>
      <c r="D28" s="51" t="n">
        <f aca="false">D25+D26+D27</f>
        <v>26425833.79</v>
      </c>
      <c r="E28" s="52" t="n">
        <f aca="false">C28/$B$3</f>
        <v>92.74000239</v>
      </c>
      <c r="F28" s="52" t="n">
        <f aca="false">D28/$B$3</f>
        <v>26.42583379</v>
      </c>
      <c r="G28" s="52" t="n">
        <f aca="false">E28-F28</f>
        <v>66.3141686</v>
      </c>
      <c r="H28" s="53" t="n">
        <f aca="false">IF(F28=0,"n/a",IF(F28&lt;0,"n/a",E28/F28-1))</f>
        <v>2.50944470199061</v>
      </c>
    </row>
    <row r="29" customFormat="false" ht="15" hidden="false" customHeight="true" outlineLevel="0" collapsed="false">
      <c r="A29" s="49" t="s">
        <v>297</v>
      </c>
      <c r="B29" s="50"/>
      <c r="C29" s="51" t="n">
        <f aca="false">C9+C12+C15+C18+C23+C24+C28</f>
        <v>19280529.96</v>
      </c>
      <c r="D29" s="51" t="n">
        <f aca="false">D9+D12+D15+D18+D23+D24+D28</f>
        <v>-15071965.48</v>
      </c>
      <c r="E29" s="52" t="n">
        <f aca="false">C29/$B$3</f>
        <v>19.28052996</v>
      </c>
      <c r="F29" s="52" t="n">
        <f aca="false">D29/$B$3</f>
        <v>-15.07196548</v>
      </c>
      <c r="G29" s="52" t="n">
        <f aca="false">E29-F29</f>
        <v>34.35249544</v>
      </c>
      <c r="H29" s="53" t="str">
        <f aca="false">IF(F29=0,"n/a",IF(F29&lt;0,"n/a",E29/F29-1))</f>
        <v>n/a</v>
      </c>
    </row>
    <row r="31" customFormat="false" ht="15" hidden="false" customHeight="true" outlineLevel="0" collapsed="false">
      <c r="A31" s="12" t="s">
        <v>298</v>
      </c>
      <c r="B31" s="36"/>
      <c r="C31" s="37" t="n">
        <v>611748.62</v>
      </c>
      <c r="D31" s="37" t="n">
        <v>1736213.82</v>
      </c>
      <c r="E31" s="38" t="n">
        <f aca="false">C31/$B$3</f>
        <v>0.61174862</v>
      </c>
      <c r="F31" s="38" t="n">
        <f aca="false">D31/$B$3</f>
        <v>1.73621382</v>
      </c>
      <c r="G31" s="38" t="n">
        <f aca="false">E31-F31</f>
        <v>-1.1244652</v>
      </c>
      <c r="H31" s="39" t="n">
        <f aca="false">IF(F31=0,"n/a",IF(F31&lt;0,"n/a",E31/F31-1))</f>
        <v>-0.64765363980342</v>
      </c>
    </row>
    <row r="32" customFormat="false" ht="15" hidden="false" customHeight="true" outlineLevel="0" collapsed="false">
      <c r="A32" s="12" t="s">
        <v>299</v>
      </c>
      <c r="B32" s="36"/>
      <c r="C32" s="37" t="n">
        <v>-879657.98</v>
      </c>
      <c r="D32" s="37" t="n">
        <v>-2649999.47</v>
      </c>
      <c r="E32" s="38" t="n">
        <f aca="false">C32/$B$3</f>
        <v>-0.87965798</v>
      </c>
      <c r="F32" s="38" t="n">
        <f aca="false">D32/$B$3</f>
        <v>-2.64999947</v>
      </c>
      <c r="G32" s="38" t="n">
        <f aca="false">E32-F32</f>
        <v>1.77034149</v>
      </c>
      <c r="H32" s="39" t="str">
        <f aca="false">IF(F32=0,"n/a",IF(F32&lt;0,"n/a",E32/F32-1))</f>
        <v>n/a</v>
      </c>
    </row>
    <row r="33" customFormat="false" ht="15" hidden="false" customHeight="true" outlineLevel="0" collapsed="false">
      <c r="A33" s="12" t="s">
        <v>300</v>
      </c>
      <c r="B33" s="36" t="s">
        <v>97</v>
      </c>
      <c r="C33" s="37" t="n">
        <v>-5814.66</v>
      </c>
      <c r="D33" s="37" t="n">
        <v>1718.4</v>
      </c>
      <c r="E33" s="38" t="n">
        <f aca="false">C33/$B$3</f>
        <v>-0.00581466</v>
      </c>
      <c r="F33" s="38" t="n">
        <f aca="false">D33/$B$3</f>
        <v>0.0017184</v>
      </c>
      <c r="G33" s="38" t="n">
        <f aca="false">E33-F33</f>
        <v>-0.00753306</v>
      </c>
      <c r="H33" s="39" t="n">
        <f aca="false">IF(F33=0,"n/a",IF(F33&lt;0,"n/a",E33/F33-1))</f>
        <v>-4.38376396648045</v>
      </c>
    </row>
    <row r="34" customFormat="false" ht="15" hidden="false" customHeight="true" outlineLevel="0" collapsed="false">
      <c r="A34" s="12" t="s">
        <v>301</v>
      </c>
      <c r="B34" s="36"/>
      <c r="C34" s="37" t="n">
        <v>-20253.26</v>
      </c>
      <c r="D34" s="37" t="n">
        <v>-33031.92</v>
      </c>
      <c r="E34" s="38" t="n">
        <f aca="false">C34/$B$3</f>
        <v>-0.02025326</v>
      </c>
      <c r="F34" s="38" t="n">
        <f aca="false">D34/$B$3</f>
        <v>-0.03303192</v>
      </c>
      <c r="G34" s="38" t="n">
        <f aca="false">E34-F34</f>
        <v>0.01277866</v>
      </c>
      <c r="H34" s="39" t="str">
        <f aca="false">IF(F34=0,"n/a",IF(F34&lt;0,"n/a",E34/F34-1))</f>
        <v>n/a</v>
      </c>
    </row>
    <row r="35" customFormat="false" ht="15" hidden="false" customHeight="true" outlineLevel="0" collapsed="false">
      <c r="A35" s="40" t="s">
        <v>302</v>
      </c>
      <c r="B35" s="45"/>
      <c r="C35" s="42" t="n">
        <f aca="false">C31+C32+C33+C34</f>
        <v>-293977.28</v>
      </c>
      <c r="D35" s="42" t="n">
        <f aca="false">D31+D32+D33+D34</f>
        <v>-945099.17</v>
      </c>
      <c r="E35" s="43" t="n">
        <f aca="false">C35/$B$3</f>
        <v>-0.29397728</v>
      </c>
      <c r="F35" s="43" t="n">
        <f aca="false">D35/$B$3</f>
        <v>-0.94509917</v>
      </c>
      <c r="G35" s="43" t="n">
        <f aca="false">E35-F35</f>
        <v>0.65112189</v>
      </c>
      <c r="H35" s="44" t="str">
        <f aca="false">IF(F35=0,"n/a",IF(F35&lt;0,"n/a",E35/F35-1))</f>
        <v>n/a</v>
      </c>
    </row>
    <row r="36" customFormat="false" ht="15" hidden="false" customHeight="true" outlineLevel="0" collapsed="false">
      <c r="A36" s="40" t="s">
        <v>303</v>
      </c>
      <c r="B36" s="45"/>
      <c r="C36" s="42" t="n">
        <f aca="false">C29+C35</f>
        <v>18986552.68</v>
      </c>
      <c r="D36" s="42" t="n">
        <f aca="false">D29+D35</f>
        <v>-16017064.65</v>
      </c>
      <c r="E36" s="43" t="n">
        <f aca="false">C36/$B$3</f>
        <v>18.98655268</v>
      </c>
      <c r="F36" s="43" t="n">
        <f aca="false">D36/$B$3</f>
        <v>-16.01706465</v>
      </c>
      <c r="G36" s="43" t="n">
        <f aca="false">E36-F36</f>
        <v>35.00361733</v>
      </c>
      <c r="H36" s="44" t="str">
        <f aca="false">IF(F36=0,"n/a",IF(F36&lt;0,"n/a",E36/F36-1))</f>
        <v>n/a</v>
      </c>
    </row>
    <row r="37" customFormat="false" ht="15" hidden="false" customHeight="true" outlineLevel="0" collapsed="false">
      <c r="A37" s="12" t="s">
        <v>304</v>
      </c>
      <c r="B37" s="36"/>
      <c r="C37" s="37" t="n">
        <v>-5275304.12</v>
      </c>
      <c r="D37" s="37" t="n">
        <v>1895827.37</v>
      </c>
      <c r="E37" s="38" t="n">
        <f aca="false">C37/$B$3</f>
        <v>-5.27530412</v>
      </c>
      <c r="F37" s="38" t="n">
        <f aca="false">D37/$B$3</f>
        <v>1.89582737</v>
      </c>
      <c r="G37" s="38" t="n">
        <f aca="false">E37-F37</f>
        <v>-7.17113149</v>
      </c>
      <c r="H37" s="39" t="n">
        <f aca="false">IF(F37=0,"n/a",IF(F37&lt;0,"n/a",E37/F37-1))</f>
        <v>-3.78258674997397</v>
      </c>
    </row>
    <row r="38" customFormat="false" ht="15" hidden="false" customHeight="true" outlineLevel="0" collapsed="false">
      <c r="A38" s="49" t="s">
        <v>305</v>
      </c>
      <c r="B38" s="50"/>
      <c r="C38" s="51" t="n">
        <f aca="false">C36+C37</f>
        <v>13711248.56</v>
      </c>
      <c r="D38" s="51" t="n">
        <f aca="false">D36+D37</f>
        <v>-14121237.28</v>
      </c>
      <c r="E38" s="52" t="n">
        <f aca="false">C38/$B$3</f>
        <v>13.71124856</v>
      </c>
      <c r="F38" s="52" t="n">
        <f aca="false">D38/$B$3</f>
        <v>-14.12123728</v>
      </c>
      <c r="G38" s="52" t="n">
        <f aca="false">E38-F38</f>
        <v>27.83248584</v>
      </c>
      <c r="H38" s="53" t="str">
        <f aca="false">IF(F38=0,"n/a",IF(F38&lt;0,"n/a",E38/F38-1))</f>
        <v>n/a</v>
      </c>
    </row>
    <row r="39" customFormat="false" ht="15" hidden="false" customHeight="true" outlineLevel="0" collapsed="false">
      <c r="A39" s="3" t="s">
        <v>306</v>
      </c>
    </row>
    <row r="41" customFormat="false" ht="15" hidden="false" customHeight="true" outlineLevel="0" collapsed="false">
      <c r="A41" s="5" t="s">
        <v>253</v>
      </c>
      <c r="B41" s="6"/>
      <c r="C41" s="6"/>
      <c r="D41" s="6"/>
      <c r="E41" s="6"/>
      <c r="F41" s="6"/>
      <c r="G41" s="6"/>
      <c r="H41" s="6"/>
    </row>
    <row r="42" customFormat="false" ht="15" hidden="false" customHeight="true" outlineLevel="0" collapsed="false">
      <c r="A42" s="12" t="s">
        <v>307</v>
      </c>
      <c r="C42" s="26" t="n">
        <v>19280529.96</v>
      </c>
      <c r="D42" s="26" t="n">
        <v>-15071965.48</v>
      </c>
    </row>
    <row r="43" customFormat="false" ht="15" hidden="false" customHeight="true" outlineLevel="0" collapsed="false">
      <c r="A43" s="12" t="s">
        <v>308</v>
      </c>
      <c r="C43" s="26" t="n">
        <v>13711248.56</v>
      </c>
      <c r="D43" s="26" t="n">
        <v>-14121237.28</v>
      </c>
    </row>
    <row r="44" customFormat="false" ht="15" hidden="false" customHeight="true" outlineLevel="0" collapsed="false">
      <c r="A44" s="12" t="s">
        <v>309</v>
      </c>
      <c r="C44" s="54" t="n">
        <f aca="false">ROUND(C29-C42,2)</f>
        <v>0</v>
      </c>
      <c r="D44" s="54" t="n">
        <f aca="false">ROUND(D29-D42,2)</f>
        <v>0</v>
      </c>
    </row>
    <row r="45" customFormat="false" ht="15" hidden="false" customHeight="true" outlineLevel="0" collapsed="false">
      <c r="A45" s="12" t="s">
        <v>310</v>
      </c>
      <c r="C45" s="54" t="n">
        <f aca="false">ROUND(C38-C43,2)</f>
        <v>0</v>
      </c>
      <c r="D45" s="54" t="n">
        <f aca="false">ROUND(D38-D43,2)</f>
        <v>0</v>
      </c>
    </row>
    <row r="46" customFormat="false" ht="15" hidden="false" customHeight="true" outlineLevel="0" collapsed="false">
      <c r="A46" s="12" t="s">
        <v>311</v>
      </c>
      <c r="C46" s="61" t="n">
        <f aca="false">Balance!C33</f>
        <v>13711248.56</v>
      </c>
      <c r="D46" s="61" t="n">
        <f aca="false">Balance!D33</f>
        <v>-14121237.28</v>
      </c>
    </row>
    <row r="47" customFormat="false" ht="15" hidden="false" customHeight="true" outlineLevel="0" collapsed="false">
      <c r="A47" s="12" t="s">
        <v>312</v>
      </c>
      <c r="C47" s="54" t="n">
        <f aca="false">ROUND(C38-C46,2)</f>
        <v>0</v>
      </c>
      <c r="D47" s="54" t="n">
        <f aca="false">ROUND(D38-D46,2)</f>
        <v>0</v>
      </c>
    </row>
    <row r="48" customFormat="false" ht="15" hidden="false" customHeight="true" outlineLevel="0" collapsed="false">
      <c r="A48" s="10" t="s">
        <v>83</v>
      </c>
      <c r="C48" s="55" t="str">
        <f aca="false">IF(AND(C44=0,C45=0,C47=0),"OK","REVISAR")</f>
        <v>OK</v>
      </c>
      <c r="D48" s="55" t="str">
        <f aca="false">IF(AND(D44=0,D45=0,D47=0),"OK","REVISAR")</f>
        <v>OK</v>
      </c>
    </row>
    <row r="50" customFormat="false" ht="15" hidden="false" customHeight="true" outlineLevel="0" collapsed="false">
      <c r="A50" s="5" t="s">
        <v>313</v>
      </c>
      <c r="B50" s="6"/>
      <c r="C50" s="6"/>
      <c r="D50" s="6"/>
      <c r="E50" s="6"/>
      <c r="F50" s="6"/>
      <c r="G50" s="6"/>
      <c r="H50" s="6"/>
    </row>
    <row r="51" customFormat="false" ht="15" hidden="false" customHeight="true" outlineLevel="0" collapsed="false">
      <c r="A51" s="12" t="s">
        <v>314</v>
      </c>
      <c r="C51" s="39" t="n">
        <f aca="false">-C18/C9</f>
        <v>1.19519753127678</v>
      </c>
      <c r="D51" s="39" t="n">
        <f aca="false">-D18/D9</f>
        <v>0.902837122947063</v>
      </c>
      <c r="E51" s="3" t="s">
        <v>315</v>
      </c>
    </row>
    <row r="52" customFormat="false" ht="15" hidden="false" customHeight="true" outlineLevel="0" collapsed="false">
      <c r="A52" s="12" t="s">
        <v>316</v>
      </c>
      <c r="C52" s="38" t="n">
        <f aca="false">(C29-C28)/$B$3</f>
        <v>-73.45947243</v>
      </c>
      <c r="D52" s="38" t="n">
        <f aca="false">(D29-D28)/$B$3</f>
        <v>-41.49779927</v>
      </c>
      <c r="E52" s="3" t="s">
        <v>317</v>
      </c>
    </row>
    <row r="53" customFormat="false" ht="15" hidden="false" customHeight="true" outlineLevel="0" collapsed="false">
      <c r="A53" s="12" t="s">
        <v>318</v>
      </c>
      <c r="C53" s="38" t="n">
        <f aca="false">(C29-C28-C24)/$B$3</f>
        <v>-43.28243736</v>
      </c>
      <c r="D53" s="38" t="n">
        <f aca="false">(D29-D28-D24)/$B$3</f>
        <v>-13.60009476</v>
      </c>
      <c r="E53" s="3" t="s">
        <v>319</v>
      </c>
    </row>
    <row r="54" customFormat="false" ht="15" hidden="false" customHeight="true" outlineLevel="0" collapsed="false">
      <c r="A54" s="12" t="s">
        <v>320</v>
      </c>
      <c r="C54" s="38" t="n">
        <f aca="false">(C29-C24)/$B$3</f>
        <v>49.45756503</v>
      </c>
      <c r="D54" s="38" t="n">
        <f aca="false">(D29-D24)/$B$3</f>
        <v>12.82573903</v>
      </c>
      <c r="E54" s="3" t="s">
        <v>321</v>
      </c>
    </row>
    <row r="55" customFormat="false" ht="15" hidden="false" customHeight="true" outlineLevel="0" collapsed="false">
      <c r="A55" s="12" t="s">
        <v>322</v>
      </c>
      <c r="C55" s="39" t="n">
        <f aca="false">C28/C29</f>
        <v>4.81003388301055</v>
      </c>
      <c r="D55" s="39" t="s">
        <v>323</v>
      </c>
      <c r="E55" s="3" t="s">
        <v>324</v>
      </c>
    </row>
    <row r="56" customFormat="false" ht="15" hidden="false" customHeight="true" outlineLevel="0" collapsed="false">
      <c r="A56" s="12" t="s">
        <v>325</v>
      </c>
      <c r="C56" s="62" t="n">
        <f aca="false">Nota13!F14</f>
        <v>0.617483219403728</v>
      </c>
      <c r="D56" s="62" t="n">
        <f aca="false">Nota13!G14</f>
        <v>0.747233251539408</v>
      </c>
      <c r="E56" s="3" t="s">
        <v>326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4"/>
    <col collapsed="false" customWidth="true" hidden="false" outlineLevel="0" max="5" min="2" style="1" width="17"/>
  </cols>
  <sheetData>
    <row r="1" customFormat="false" ht="17.25" hidden="false" customHeight="true" outlineLevel="0" collapsed="false">
      <c r="A1" s="2" t="s">
        <v>327</v>
      </c>
    </row>
    <row r="2" customFormat="false" ht="15" hidden="false" customHeight="true" outlineLevel="0" collapsed="false">
      <c r="A2" s="3" t="s">
        <v>328</v>
      </c>
    </row>
    <row r="3" customFormat="false" ht="15" hidden="false" customHeight="true" outlineLevel="0" collapsed="false">
      <c r="A3" s="10" t="s">
        <v>329</v>
      </c>
      <c r="B3" s="57" t="n">
        <f aca="false">Balance!$B$3</f>
        <v>1000000</v>
      </c>
    </row>
    <row r="5" customFormat="false" ht="15" hidden="false" customHeight="true" outlineLevel="0" collapsed="false">
      <c r="A5" s="63" t="s">
        <v>2</v>
      </c>
      <c r="B5" s="64" t="s">
        <v>194</v>
      </c>
      <c r="C5" s="64" t="s">
        <v>195</v>
      </c>
      <c r="D5" s="64" t="s">
        <v>196</v>
      </c>
      <c r="E5" s="64" t="s">
        <v>197</v>
      </c>
    </row>
    <row r="6" customFormat="false" ht="15" hidden="false" customHeight="true" outlineLevel="0" collapsed="false">
      <c r="A6" s="5" t="s">
        <v>330</v>
      </c>
      <c r="B6" s="6"/>
      <c r="C6" s="6"/>
      <c r="D6" s="6"/>
      <c r="E6" s="6"/>
    </row>
    <row r="7" customFormat="false" ht="15" hidden="false" customHeight="true" outlineLevel="0" collapsed="false">
      <c r="A7" s="12" t="s">
        <v>331</v>
      </c>
      <c r="B7" s="26" t="n">
        <v>18986552.68</v>
      </c>
      <c r="C7" s="26" t="n">
        <v>-16017064.65</v>
      </c>
      <c r="D7" s="65" t="n">
        <f aca="false">B7/$B$3</f>
        <v>18.98655268</v>
      </c>
      <c r="E7" s="65" t="n">
        <f aca="false">C7/$B$3</f>
        <v>-16.01706465</v>
      </c>
    </row>
    <row r="8" customFormat="false" ht="15" hidden="false" customHeight="true" outlineLevel="0" collapsed="false">
      <c r="A8" s="9" t="s">
        <v>332</v>
      </c>
      <c r="B8" s="26" t="n">
        <v>30177035.07</v>
      </c>
      <c r="C8" s="26" t="n">
        <v>27897704.51</v>
      </c>
      <c r="D8" s="65" t="n">
        <f aca="false">B8/$B$3</f>
        <v>30.17703507</v>
      </c>
      <c r="E8" s="65" t="n">
        <f aca="false">C8/$B$3</f>
        <v>27.89770451</v>
      </c>
    </row>
    <row r="9" customFormat="false" ht="15" hidden="false" customHeight="true" outlineLevel="0" collapsed="false">
      <c r="A9" s="9" t="s">
        <v>333</v>
      </c>
      <c r="B9" s="26" t="n">
        <v>4685.02</v>
      </c>
      <c r="C9" s="26" t="n">
        <v>-1407.44</v>
      </c>
      <c r="D9" s="65" t="n">
        <f aca="false">B9/$B$3</f>
        <v>0.00468502</v>
      </c>
      <c r="E9" s="65" t="n">
        <f aca="false">C9/$B$3</f>
        <v>-0.00140744</v>
      </c>
    </row>
    <row r="10" customFormat="false" ht="15" hidden="false" customHeight="true" outlineLevel="0" collapsed="false">
      <c r="A10" s="9" t="s">
        <v>334</v>
      </c>
      <c r="B10" s="26" t="n">
        <v>-92740002.39</v>
      </c>
      <c r="C10" s="26" t="n">
        <v>-26425833.79</v>
      </c>
      <c r="D10" s="65" t="n">
        <f aca="false">B10/$B$3</f>
        <v>-92.74000239</v>
      </c>
      <c r="E10" s="65" t="n">
        <f aca="false">C10/$B$3</f>
        <v>-26.42583379</v>
      </c>
    </row>
    <row r="11" customFormat="false" ht="15" hidden="false" customHeight="true" outlineLevel="0" collapsed="false">
      <c r="A11" s="9" t="s">
        <v>335</v>
      </c>
      <c r="B11" s="26" t="n">
        <v>-640985.56</v>
      </c>
      <c r="C11" s="26" t="n">
        <v>-498679.89</v>
      </c>
      <c r="D11" s="65" t="n">
        <f aca="false">B11/$B$3</f>
        <v>-0.64098556</v>
      </c>
      <c r="E11" s="65" t="n">
        <f aca="false">C11/$B$3</f>
        <v>-0.49867989</v>
      </c>
    </row>
    <row r="12" customFormat="false" ht="15" hidden="false" customHeight="true" outlineLevel="0" collapsed="false">
      <c r="A12" s="9" t="s">
        <v>336</v>
      </c>
      <c r="B12" s="26" t="n">
        <v>-591495.36</v>
      </c>
      <c r="C12" s="26" t="n">
        <v>-1703181.9</v>
      </c>
      <c r="D12" s="65" t="n">
        <f aca="false">B12/$B$3</f>
        <v>-0.59149536</v>
      </c>
      <c r="E12" s="65" t="n">
        <f aca="false">C12/$B$3</f>
        <v>-1.7031819</v>
      </c>
    </row>
    <row r="13" customFormat="false" ht="15" hidden="false" customHeight="true" outlineLevel="0" collapsed="false">
      <c r="A13" s="9" t="s">
        <v>337</v>
      </c>
      <c r="B13" s="26" t="n">
        <v>879657.98</v>
      </c>
      <c r="C13" s="26" t="n">
        <v>2649999.47</v>
      </c>
      <c r="D13" s="65" t="n">
        <f aca="false">B13/$B$3</f>
        <v>0.87965798</v>
      </c>
      <c r="E13" s="65" t="n">
        <f aca="false">C13/$B$3</f>
        <v>2.64999947</v>
      </c>
    </row>
    <row r="14" customFormat="false" ht="15" hidden="false" customHeight="true" outlineLevel="0" collapsed="false">
      <c r="A14" s="9" t="s">
        <v>338</v>
      </c>
      <c r="B14" s="26" t="n">
        <v>5814.66</v>
      </c>
      <c r="C14" s="26" t="n">
        <v>-1718.4</v>
      </c>
      <c r="D14" s="65" t="n">
        <f aca="false">B14/$B$3</f>
        <v>0.00581466</v>
      </c>
      <c r="E14" s="65" t="n">
        <f aca="false">C14/$B$3</f>
        <v>-0.0017184</v>
      </c>
    </row>
    <row r="15" customFormat="false" ht="15" hidden="false" customHeight="true" outlineLevel="0" collapsed="false">
      <c r="A15" s="40" t="s">
        <v>339</v>
      </c>
      <c r="B15" s="66" t="n">
        <f aca="false">B8+B9+B10+B11+B12+B13+B14</f>
        <v>-62905290.58</v>
      </c>
      <c r="C15" s="66" t="n">
        <f aca="false">C8+C9+C10+C11+C12+C13+C14</f>
        <v>1916882.56</v>
      </c>
      <c r="D15" s="67" t="n">
        <f aca="false">B15/$B$3</f>
        <v>-62.90529058</v>
      </c>
      <c r="E15" s="67" t="n">
        <f aca="false">C15/$B$3</f>
        <v>1.91688256</v>
      </c>
    </row>
    <row r="16" customFormat="false" ht="15" hidden="false" customHeight="true" outlineLevel="0" collapsed="false">
      <c r="A16" s="9" t="s">
        <v>340</v>
      </c>
      <c r="B16" s="26" t="n">
        <v>39837.66</v>
      </c>
      <c r="C16" s="26" t="n">
        <v>28171.07</v>
      </c>
      <c r="D16" s="65" t="n">
        <f aca="false">B16/$B$3</f>
        <v>0.03983766</v>
      </c>
      <c r="E16" s="65" t="n">
        <f aca="false">C16/$B$3</f>
        <v>0.02817107</v>
      </c>
    </row>
    <row r="17" customFormat="false" ht="15" hidden="false" customHeight="true" outlineLevel="0" collapsed="false">
      <c r="A17" s="9" t="s">
        <v>341</v>
      </c>
      <c r="B17" s="26" t="n">
        <v>-53512268.62</v>
      </c>
      <c r="C17" s="26" t="n">
        <v>36591248.44</v>
      </c>
      <c r="D17" s="65" t="n">
        <f aca="false">B17/$B$3</f>
        <v>-53.51226862</v>
      </c>
      <c r="E17" s="65" t="n">
        <f aca="false">C17/$B$3</f>
        <v>36.59124844</v>
      </c>
    </row>
    <row r="18" customFormat="false" ht="15" hidden="false" customHeight="true" outlineLevel="0" collapsed="false">
      <c r="A18" s="9" t="s">
        <v>342</v>
      </c>
      <c r="B18" s="26" t="n">
        <v>-105170.25</v>
      </c>
      <c r="C18" s="26" t="n">
        <v>0</v>
      </c>
      <c r="D18" s="65" t="n">
        <f aca="false">B18/$B$3</f>
        <v>-0.10517025</v>
      </c>
      <c r="E18" s="65" t="n">
        <f aca="false">C18/$B$3</f>
        <v>0</v>
      </c>
    </row>
    <row r="19" customFormat="false" ht="15" hidden="false" customHeight="true" outlineLevel="0" collapsed="false">
      <c r="A19" s="9" t="s">
        <v>343</v>
      </c>
      <c r="B19" s="26" t="n">
        <v>8767176.14</v>
      </c>
      <c r="C19" s="26" t="n">
        <v>-6901505.88</v>
      </c>
      <c r="D19" s="65" t="n">
        <f aca="false">B19/$B$3</f>
        <v>8.76717614</v>
      </c>
      <c r="E19" s="65" t="n">
        <f aca="false">C19/$B$3</f>
        <v>-6.90150588</v>
      </c>
    </row>
    <row r="20" customFormat="false" ht="15" hidden="false" customHeight="true" outlineLevel="0" collapsed="false">
      <c r="A20" s="9" t="s">
        <v>344</v>
      </c>
      <c r="B20" s="26" t="n">
        <v>1949835.31</v>
      </c>
      <c r="C20" s="26" t="n">
        <v>114326.09</v>
      </c>
      <c r="D20" s="65" t="n">
        <f aca="false">B20/$B$3</f>
        <v>1.94983531</v>
      </c>
      <c r="E20" s="65" t="n">
        <f aca="false">C20/$B$3</f>
        <v>0.11432609</v>
      </c>
    </row>
    <row r="21" customFormat="false" ht="15" hidden="false" customHeight="true" outlineLevel="0" collapsed="false">
      <c r="A21" s="40" t="s">
        <v>345</v>
      </c>
      <c r="B21" s="66" t="n">
        <f aca="false">B16+B17+B18+B19+B20</f>
        <v>-42860589.76</v>
      </c>
      <c r="C21" s="66" t="n">
        <f aca="false">C16+C17+C18+C19+C20</f>
        <v>29832239.72</v>
      </c>
      <c r="D21" s="67" t="n">
        <f aca="false">B21/$B$3</f>
        <v>-42.86058976</v>
      </c>
      <c r="E21" s="67" t="n">
        <f aca="false">C21/$B$3</f>
        <v>29.83223972</v>
      </c>
    </row>
    <row r="22" customFormat="false" ht="15" hidden="false" customHeight="true" outlineLevel="0" collapsed="false">
      <c r="A22" s="9" t="s">
        <v>346</v>
      </c>
      <c r="B22" s="26" t="n">
        <v>-879657.98</v>
      </c>
      <c r="C22" s="26" t="n">
        <v>-2649999.47</v>
      </c>
      <c r="D22" s="65" t="n">
        <f aca="false">B22/$B$3</f>
        <v>-0.87965798</v>
      </c>
      <c r="E22" s="65" t="n">
        <f aca="false">C22/$B$3</f>
        <v>-2.64999947</v>
      </c>
    </row>
    <row r="23" customFormat="false" ht="15" hidden="false" customHeight="true" outlineLevel="0" collapsed="false">
      <c r="A23" s="9" t="s">
        <v>347</v>
      </c>
      <c r="B23" s="26" t="n">
        <v>591495.36</v>
      </c>
      <c r="C23" s="26" t="n">
        <v>1703181.9</v>
      </c>
      <c r="D23" s="65" t="n">
        <f aca="false">B23/$B$3</f>
        <v>0.59149536</v>
      </c>
      <c r="E23" s="65" t="n">
        <f aca="false">C23/$B$3</f>
        <v>1.7031819</v>
      </c>
    </row>
    <row r="24" customFormat="false" ht="15" hidden="false" customHeight="true" outlineLevel="0" collapsed="false">
      <c r="A24" s="9" t="s">
        <v>348</v>
      </c>
      <c r="B24" s="26" t="n">
        <v>0</v>
      </c>
      <c r="C24" s="26" t="n">
        <v>41510.44</v>
      </c>
      <c r="D24" s="65" t="n">
        <f aca="false">B24/$B$3</f>
        <v>0</v>
      </c>
      <c r="E24" s="65" t="n">
        <f aca="false">C24/$B$3</f>
        <v>0.04151044</v>
      </c>
    </row>
    <row r="25" customFormat="false" ht="15" hidden="false" customHeight="true" outlineLevel="0" collapsed="false">
      <c r="A25" s="40" t="s">
        <v>349</v>
      </c>
      <c r="B25" s="66" t="n">
        <f aca="false">B22+B23+B24</f>
        <v>-288162.62</v>
      </c>
      <c r="C25" s="66" t="n">
        <f aca="false">C22+C23+C24</f>
        <v>-905307.13</v>
      </c>
      <c r="D25" s="67" t="n">
        <f aca="false">B25/$B$3</f>
        <v>-0.28816262</v>
      </c>
      <c r="E25" s="67" t="n">
        <f aca="false">C25/$B$3</f>
        <v>-0.90530713</v>
      </c>
    </row>
    <row r="26" customFormat="false" ht="15" hidden="false" customHeight="true" outlineLevel="0" collapsed="false">
      <c r="A26" s="49" t="s">
        <v>350</v>
      </c>
      <c r="B26" s="68" t="n">
        <f aca="false">B7+B15+B21+B25</f>
        <v>-87067490.28</v>
      </c>
      <c r="C26" s="68" t="n">
        <f aca="false">C7+C15+C21+C25</f>
        <v>14826750.5</v>
      </c>
      <c r="D26" s="69" t="n">
        <f aca="false">B26/$B$3</f>
        <v>-87.06749028</v>
      </c>
      <c r="E26" s="69" t="n">
        <f aca="false">C26/$B$3</f>
        <v>14.8267505</v>
      </c>
    </row>
    <row r="28" customFormat="false" ht="15" hidden="false" customHeight="true" outlineLevel="0" collapsed="false">
      <c r="A28" s="5" t="s">
        <v>351</v>
      </c>
      <c r="B28" s="6"/>
      <c r="C28" s="6"/>
      <c r="D28" s="6"/>
      <c r="E28" s="6"/>
    </row>
    <row r="29" customFormat="false" ht="15" hidden="false" customHeight="true" outlineLevel="0" collapsed="false">
      <c r="A29" s="9" t="s">
        <v>352</v>
      </c>
      <c r="B29" s="26" t="n">
        <v>-20767887</v>
      </c>
      <c r="C29" s="26" t="n">
        <v>-12770180.51</v>
      </c>
      <c r="D29" s="65" t="n">
        <f aca="false">B29/$B$3</f>
        <v>-20.767887</v>
      </c>
      <c r="E29" s="65" t="n">
        <f aca="false">C29/$B$3</f>
        <v>-12.77018051</v>
      </c>
    </row>
    <row r="30" customFormat="false" ht="15" hidden="false" customHeight="true" outlineLevel="0" collapsed="false">
      <c r="A30" s="9" t="s">
        <v>353</v>
      </c>
      <c r="B30" s="26" t="n">
        <v>0</v>
      </c>
      <c r="C30" s="26" t="n">
        <v>-8031132.52</v>
      </c>
      <c r="D30" s="65" t="n">
        <f aca="false">B30/$B$3</f>
        <v>0</v>
      </c>
      <c r="E30" s="65" t="n">
        <f aca="false">C30/$B$3</f>
        <v>-8.03113252</v>
      </c>
    </row>
    <row r="31" customFormat="false" ht="15" hidden="false" customHeight="true" outlineLevel="0" collapsed="false">
      <c r="A31" s="9" t="s">
        <v>354</v>
      </c>
      <c r="B31" s="26" t="n">
        <v>-43364.18</v>
      </c>
      <c r="C31" s="26" t="n">
        <v>-1547985.27</v>
      </c>
      <c r="D31" s="65" t="n">
        <f aca="false">B31/$B$3</f>
        <v>-0.04336418</v>
      </c>
      <c r="E31" s="65" t="n">
        <f aca="false">C31/$B$3</f>
        <v>-1.54798527</v>
      </c>
    </row>
    <row r="32" customFormat="false" ht="15" hidden="false" customHeight="true" outlineLevel="0" collapsed="false">
      <c r="A32" s="40" t="s">
        <v>355</v>
      </c>
      <c r="B32" s="66" t="n">
        <f aca="false">B29+B30+B31</f>
        <v>-20811251.18</v>
      </c>
      <c r="C32" s="66" t="n">
        <f aca="false">C29+C30+C31</f>
        <v>-22349298.3</v>
      </c>
      <c r="D32" s="67" t="n">
        <f aca="false">B32/$B$3</f>
        <v>-20.81125118</v>
      </c>
      <c r="E32" s="67" t="n">
        <f aca="false">C32/$B$3</f>
        <v>-22.3492983</v>
      </c>
    </row>
    <row r="33" customFormat="false" ht="15" hidden="false" customHeight="true" outlineLevel="0" collapsed="false">
      <c r="A33" s="9" t="s">
        <v>356</v>
      </c>
      <c r="B33" s="26" t="n">
        <v>65355413.38</v>
      </c>
      <c r="C33" s="26" t="n">
        <v>19524074.08</v>
      </c>
      <c r="D33" s="65" t="n">
        <f aca="false">B33/$B$3</f>
        <v>65.35541338</v>
      </c>
      <c r="E33" s="65" t="n">
        <f aca="false">C33/$B$3</f>
        <v>19.52407408</v>
      </c>
    </row>
    <row r="34" customFormat="false" ht="15" hidden="false" customHeight="true" outlineLevel="0" collapsed="false">
      <c r="A34" s="9" t="s">
        <v>357</v>
      </c>
      <c r="B34" s="26" t="n">
        <v>728823.03</v>
      </c>
      <c r="C34" s="26" t="n">
        <v>0</v>
      </c>
      <c r="D34" s="65" t="n">
        <f aca="false">B34/$B$3</f>
        <v>0.72882303</v>
      </c>
      <c r="E34" s="65" t="n">
        <f aca="false">C34/$B$3</f>
        <v>0</v>
      </c>
    </row>
    <row r="35" customFormat="false" ht="15" hidden="false" customHeight="true" outlineLevel="0" collapsed="false">
      <c r="A35" s="9" t="s">
        <v>358</v>
      </c>
      <c r="B35" s="26" t="n">
        <v>24673.2</v>
      </c>
      <c r="C35" s="26" t="n">
        <v>-1371876.7</v>
      </c>
      <c r="D35" s="65" t="n">
        <f aca="false">B35/$B$3</f>
        <v>0.0246732</v>
      </c>
      <c r="E35" s="65" t="n">
        <f aca="false">C35/$B$3</f>
        <v>-1.3718767</v>
      </c>
    </row>
    <row r="36" customFormat="false" ht="15" hidden="false" customHeight="true" outlineLevel="0" collapsed="false">
      <c r="A36" s="40" t="s">
        <v>359</v>
      </c>
      <c r="B36" s="66" t="n">
        <f aca="false">B33+B34+B35</f>
        <v>66108909.61</v>
      </c>
      <c r="C36" s="66" t="n">
        <f aca="false">C33+C34+C35</f>
        <v>18152197.38</v>
      </c>
      <c r="D36" s="67" t="n">
        <f aca="false">B36/$B$3</f>
        <v>66.10890961</v>
      </c>
      <c r="E36" s="67" t="n">
        <f aca="false">C36/$B$3</f>
        <v>18.15219738</v>
      </c>
    </row>
    <row r="37" customFormat="false" ht="15" hidden="false" customHeight="true" outlineLevel="0" collapsed="false">
      <c r="A37" s="49" t="s">
        <v>360</v>
      </c>
      <c r="B37" s="68" t="n">
        <f aca="false">B32+B36</f>
        <v>45297658.43</v>
      </c>
      <c r="C37" s="68" t="n">
        <f aca="false">C32+C36</f>
        <v>-4197100.92</v>
      </c>
      <c r="D37" s="69" t="n">
        <f aca="false">B37/$B$3</f>
        <v>45.29765843</v>
      </c>
      <c r="E37" s="69" t="n">
        <f aca="false">C37/$B$3</f>
        <v>-4.19710092</v>
      </c>
    </row>
    <row r="39" customFormat="false" ht="15" hidden="false" customHeight="true" outlineLevel="0" collapsed="false">
      <c r="A39" s="5" t="s">
        <v>361</v>
      </c>
      <c r="B39" s="6"/>
      <c r="C39" s="6"/>
      <c r="D39" s="6"/>
      <c r="E39" s="6"/>
    </row>
    <row r="40" customFormat="false" ht="15" hidden="false" customHeight="true" outlineLevel="0" collapsed="false">
      <c r="A40" s="9" t="s">
        <v>362</v>
      </c>
      <c r="B40" s="26" t="n">
        <v>0</v>
      </c>
      <c r="C40" s="26" t="n">
        <v>-136164.11</v>
      </c>
      <c r="D40" s="65" t="n">
        <f aca="false">B40/$B$3</f>
        <v>0</v>
      </c>
      <c r="E40" s="65" t="n">
        <f aca="false">C40/$B$3</f>
        <v>-0.13616411</v>
      </c>
    </row>
    <row r="41" customFormat="false" ht="15" hidden="false" customHeight="true" outlineLevel="0" collapsed="false">
      <c r="A41" s="9" t="s">
        <v>363</v>
      </c>
      <c r="B41" s="26" t="n">
        <v>0</v>
      </c>
      <c r="C41" s="26" t="n">
        <v>-19000000</v>
      </c>
      <c r="D41" s="65" t="n">
        <f aca="false">B41/$B$3</f>
        <v>0</v>
      </c>
      <c r="E41" s="65" t="n">
        <f aca="false">C41/$B$3</f>
        <v>-19</v>
      </c>
    </row>
    <row r="42" customFormat="false" ht="15" hidden="false" customHeight="true" outlineLevel="0" collapsed="false">
      <c r="A42" s="9" t="s">
        <v>364</v>
      </c>
      <c r="B42" s="26" t="n">
        <v>11740738.85</v>
      </c>
      <c r="C42" s="26" t="n">
        <v>11969837.49</v>
      </c>
      <c r="D42" s="65" t="n">
        <f aca="false">B42/$B$3</f>
        <v>11.74073885</v>
      </c>
      <c r="E42" s="65" t="n">
        <f aca="false">C42/$B$3</f>
        <v>11.96983749</v>
      </c>
    </row>
    <row r="43" customFormat="false" ht="15" hidden="false" customHeight="true" outlineLevel="0" collapsed="false">
      <c r="A43" s="49" t="s">
        <v>365</v>
      </c>
      <c r="B43" s="68" t="n">
        <f aca="false">B40+B41+B42</f>
        <v>11740738.85</v>
      </c>
      <c r="C43" s="68" t="n">
        <f aca="false">C40+C41+C42</f>
        <v>-7166326.62</v>
      </c>
      <c r="D43" s="69" t="n">
        <f aca="false">B43/$B$3</f>
        <v>11.74073885</v>
      </c>
      <c r="E43" s="69" t="n">
        <f aca="false">C43/$B$3</f>
        <v>-7.16632662</v>
      </c>
    </row>
    <row r="45" customFormat="false" ht="15" hidden="false" customHeight="true" outlineLevel="0" collapsed="false">
      <c r="A45" s="49" t="s">
        <v>366</v>
      </c>
      <c r="B45" s="68" t="n">
        <f aca="false">B26+B37+B43</f>
        <v>-30029093</v>
      </c>
      <c r="C45" s="68" t="n">
        <f aca="false">C26+C37+C43</f>
        <v>3463322.96</v>
      </c>
      <c r="D45" s="69" t="n">
        <f aca="false">B45/$B$3</f>
        <v>-30.029093</v>
      </c>
      <c r="E45" s="69" t="n">
        <f aca="false">C45/$B$3</f>
        <v>3.46332296</v>
      </c>
    </row>
    <row r="46" customFormat="false" ht="15" hidden="false" customHeight="true" outlineLevel="0" collapsed="false">
      <c r="A46" s="12" t="s">
        <v>367</v>
      </c>
      <c r="B46" s="26" t="n">
        <v>47616788.73</v>
      </c>
      <c r="C46" s="26" t="n">
        <v>44153465.77</v>
      </c>
      <c r="D46" s="65" t="n">
        <f aca="false">B46/$B$3</f>
        <v>47.61678873</v>
      </c>
      <c r="E46" s="65" t="n">
        <f aca="false">C46/$B$3</f>
        <v>44.15346577</v>
      </c>
    </row>
    <row r="47" customFormat="false" ht="15" hidden="false" customHeight="true" outlineLevel="0" collapsed="false">
      <c r="A47" s="40" t="s">
        <v>368</v>
      </c>
      <c r="B47" s="66" t="n">
        <f aca="false">B46+B45</f>
        <v>17587695.73</v>
      </c>
      <c r="C47" s="66" t="n">
        <f aca="false">C46+C45</f>
        <v>47616788.73</v>
      </c>
      <c r="D47" s="67" t="n">
        <f aca="false">B47/$B$3</f>
        <v>17.58769573</v>
      </c>
      <c r="E47" s="67" t="n">
        <f aca="false">C47/$B$3</f>
        <v>47.61678873</v>
      </c>
    </row>
    <row r="49" customFormat="false" ht="15" hidden="false" customHeight="true" outlineLevel="0" collapsed="false">
      <c r="A49" s="5" t="s">
        <v>253</v>
      </c>
      <c r="B49" s="6"/>
      <c r="C49" s="6"/>
      <c r="D49" s="6"/>
      <c r="E49" s="6"/>
    </row>
    <row r="50" customFormat="false" ht="15" hidden="false" customHeight="true" outlineLevel="0" collapsed="false">
      <c r="A50" s="12" t="s">
        <v>369</v>
      </c>
      <c r="B50" s="54" t="n">
        <f aca="false">ROUND(B26-(-87067490.28),2)</f>
        <v>0</v>
      </c>
      <c r="C50" s="54" t="n">
        <f aca="false">ROUND(C26-(14826750.5),2)</f>
        <v>0</v>
      </c>
    </row>
    <row r="51" customFormat="false" ht="15" hidden="false" customHeight="true" outlineLevel="0" collapsed="false">
      <c r="A51" s="12" t="s">
        <v>370</v>
      </c>
      <c r="B51" s="54" t="n">
        <f aca="false">ROUND(B37-(45297658.43),2)</f>
        <v>0</v>
      </c>
      <c r="C51" s="54" t="n">
        <f aca="false">ROUND(C37-(-4197100.92),2)</f>
        <v>0</v>
      </c>
    </row>
    <row r="52" customFormat="false" ht="15" hidden="false" customHeight="true" outlineLevel="0" collapsed="false">
      <c r="A52" s="12" t="s">
        <v>371</v>
      </c>
      <c r="B52" s="54" t="n">
        <f aca="false">ROUND(B43-(11740738.85),2)</f>
        <v>0</v>
      </c>
      <c r="C52" s="54" t="n">
        <f aca="false">ROUND(C43-(-7166326.62),2)</f>
        <v>0</v>
      </c>
    </row>
    <row r="53" customFormat="false" ht="15" hidden="false" customHeight="true" outlineLevel="0" collapsed="false">
      <c r="A53" s="12" t="s">
        <v>372</v>
      </c>
      <c r="B53" s="54" t="n">
        <f aca="false">ROUND(B45-(-30029093),2)</f>
        <v>0</v>
      </c>
      <c r="C53" s="54" t="n">
        <f aca="false">ROUND(C45-(3463322.96),2)</f>
        <v>0</v>
      </c>
    </row>
    <row r="54" customFormat="false" ht="15" hidden="false" customHeight="true" outlineLevel="0" collapsed="false">
      <c r="A54" s="12" t="s">
        <v>373</v>
      </c>
      <c r="B54" s="54" t="n">
        <f aca="false">ROUND(B47-Balance!C23,2)</f>
        <v>0</v>
      </c>
      <c r="C54" s="54" t="n">
        <f aca="false">ROUND(C47-Balance!D23,2)</f>
        <v>0</v>
      </c>
    </row>
    <row r="55" customFormat="false" ht="15" hidden="false" customHeight="true" outlineLevel="0" collapsed="false">
      <c r="A55" s="12" t="s">
        <v>374</v>
      </c>
      <c r="B55" s="54" t="n">
        <f aca="false">ROUND(B7-PyG!C36,2)</f>
        <v>0</v>
      </c>
      <c r="C55" s="54" t="n">
        <f aca="false">ROUND(C7-PyG!D36,2)</f>
        <v>0</v>
      </c>
    </row>
    <row r="56" customFormat="false" ht="15" hidden="false" customHeight="true" outlineLevel="0" collapsed="false">
      <c r="A56" s="10" t="s">
        <v>83</v>
      </c>
      <c r="B56" s="10" t="str">
        <f aca="false">IF(AND(B50=0,B51=0,B52=0,B53=0,B54=0,B55=0),"OK","REVISAR")</f>
        <v>OK</v>
      </c>
      <c r="C56" s="10" t="str">
        <f aca="false">IF(AND(C50=0,C51=0,C52=0,C53=0,C54=0,C55=0),"OK","REVISAR")</f>
        <v>OK</v>
      </c>
    </row>
    <row r="58" customFormat="false" ht="15" hidden="false" customHeight="true" outlineLevel="0" collapsed="false">
      <c r="A58" s="5" t="s">
        <v>375</v>
      </c>
      <c r="B58" s="6"/>
      <c r="C58" s="6"/>
      <c r="D58" s="6"/>
      <c r="E58" s="6"/>
    </row>
    <row r="59" customFormat="false" ht="15" hidden="false" customHeight="true" outlineLevel="0" collapsed="false">
      <c r="A59" s="12" t="s">
        <v>376</v>
      </c>
      <c r="B59" s="8" t="n">
        <f aca="false">Nota7!B53/$B$3</f>
        <v>114.23575</v>
      </c>
      <c r="C59" s="8" t="n">
        <f aca="false">Nota7!C53/$B$3</f>
        <v>24.0760137</v>
      </c>
      <c r="D59" s="3"/>
    </row>
    <row r="60" customFormat="false" ht="15" hidden="false" customHeight="true" outlineLevel="0" collapsed="false">
      <c r="A60" s="12" t="s">
        <v>377</v>
      </c>
      <c r="B60" s="65" t="n">
        <f aca="false">B33/$B$3</f>
        <v>65.35541338</v>
      </c>
      <c r="C60" s="65" t="n">
        <f aca="false">C33/$B$3</f>
        <v>19.52407408</v>
      </c>
      <c r="D60" s="3" t="s">
        <v>378</v>
      </c>
    </row>
    <row r="61" customFormat="false" ht="15" hidden="false" customHeight="true" outlineLevel="0" collapsed="false">
      <c r="A61" s="10" t="s">
        <v>379</v>
      </c>
      <c r="B61" s="11" t="n">
        <f aca="false">B59-B60</f>
        <v>48.88033662</v>
      </c>
      <c r="C61" s="11" t="n">
        <f aca="false">C59-C60</f>
        <v>4.55193962</v>
      </c>
      <c r="D61" s="3" t="s">
        <v>380</v>
      </c>
    </row>
    <row r="62" customFormat="false" ht="15" hidden="false" customHeight="true" outlineLevel="0" collapsed="false">
      <c r="A62" s="12" t="s">
        <v>381</v>
      </c>
      <c r="B62" s="8" t="n">
        <f aca="false">Nota7!B13/$B$3</f>
        <v>61.28171739</v>
      </c>
      <c r="C62" s="8" t="n">
        <f aca="false">Nota7!B9/$B$3</f>
        <v>22.94751759</v>
      </c>
      <c r="D62" s="3"/>
    </row>
    <row r="63" customFormat="false" ht="15" hidden="false" customHeight="true" outlineLevel="0" collapsed="false">
      <c r="A63" s="12" t="s">
        <v>382</v>
      </c>
      <c r="B63" s="65" t="n">
        <f aca="false">-B29/$B$3</f>
        <v>20.767887</v>
      </c>
      <c r="C63" s="65" t="n">
        <f aca="false">-C29/$B$3</f>
        <v>12.77018051</v>
      </c>
      <c r="D63" s="3" t="s">
        <v>383</v>
      </c>
    </row>
    <row r="64" customFormat="false" ht="15" hidden="false" customHeight="true" outlineLevel="0" collapsed="false">
      <c r="A64" s="10" t="s">
        <v>384</v>
      </c>
      <c r="B64" s="11" t="n">
        <f aca="false">B62-B63</f>
        <v>40.51383039</v>
      </c>
      <c r="C64" s="11" t="n">
        <f aca="false">C62-C63</f>
        <v>10.17733708</v>
      </c>
      <c r="D64" s="3" t="s">
        <v>385</v>
      </c>
    </row>
    <row r="65" customFormat="false" ht="15" hidden="false" customHeight="true" outlineLevel="0" collapsed="false">
      <c r="A65" s="10" t="s">
        <v>386</v>
      </c>
      <c r="B65" s="11" t="n">
        <f aca="false">(B26+B37)/$B$3</f>
        <v>-41.76983185</v>
      </c>
      <c r="C65" s="11" t="n">
        <f aca="false">(C26+C37)/$B$3</f>
        <v>10.62964958</v>
      </c>
      <c r="D65" s="3" t="s">
        <v>387</v>
      </c>
    </row>
    <row r="66" customFormat="false" ht="15" hidden="false" customHeight="true" outlineLevel="0" collapsed="false">
      <c r="A66" s="12" t="s">
        <v>388</v>
      </c>
      <c r="B66" s="65" t="n">
        <f aca="false">B7/$B$3</f>
        <v>18.98655268</v>
      </c>
      <c r="C66" s="65" t="n">
        <f aca="false">C7/$B$3</f>
        <v>-16.01706465</v>
      </c>
      <c r="D66" s="3" t="s">
        <v>389</v>
      </c>
    </row>
    <row r="68" customFormat="false" ht="30" hidden="false" customHeight="true" outlineLevel="0" collapsed="false">
      <c r="A68" s="31" t="s">
        <v>390</v>
      </c>
      <c r="B68" s="31"/>
      <c r="C68" s="31"/>
      <c r="D68" s="31"/>
      <c r="E68" s="31"/>
    </row>
    <row r="69" customFormat="false" ht="30" hidden="false" customHeight="true" outlineLevel="0" collapsed="false">
      <c r="A69" s="31" t="s">
        <v>391</v>
      </c>
      <c r="B69" s="31"/>
      <c r="C69" s="31"/>
      <c r="D69" s="31"/>
      <c r="E69" s="31"/>
    </row>
    <row r="70" customFormat="false" ht="30" hidden="false" customHeight="true" outlineLevel="0" collapsed="false">
      <c r="A70" s="31" t="s">
        <v>392</v>
      </c>
      <c r="B70" s="31"/>
      <c r="C70" s="31"/>
      <c r="D70" s="31"/>
      <c r="E70" s="31"/>
    </row>
    <row r="72" customFormat="false" ht="15" hidden="false" customHeight="true" outlineLevel="0" collapsed="false">
      <c r="A72" s="70" t="s">
        <v>393</v>
      </c>
    </row>
    <row r="73" customFormat="false" ht="15" hidden="false" customHeight="true" outlineLevel="0" collapsed="false">
      <c r="A73" s="1" t="s">
        <v>394</v>
      </c>
      <c r="B73" s="71" t="n">
        <f aca="false">B59</f>
        <v>114.23575</v>
      </c>
    </row>
    <row r="74" customFormat="false" ht="15" hidden="false" customHeight="true" outlineLevel="0" collapsed="false">
      <c r="A74" s="1" t="s">
        <v>395</v>
      </c>
      <c r="B74" s="72" t="n">
        <f aca="false">-(Nota28!B19-Nota28!C19)/$B$3</f>
        <v>-55.029273</v>
      </c>
      <c r="D74" s="73" t="s">
        <v>396</v>
      </c>
    </row>
    <row r="75" customFormat="false" ht="15" hidden="false" customHeight="true" outlineLevel="0" collapsed="false">
      <c r="A75" s="1" t="s">
        <v>397</v>
      </c>
      <c r="B75" s="71" t="n">
        <f aca="false">B73+B74</f>
        <v>59.206477</v>
      </c>
    </row>
    <row r="76" customFormat="false" ht="15" hidden="false" customHeight="true" outlineLevel="0" collapsed="false">
      <c r="A76" s="1" t="s">
        <v>381</v>
      </c>
      <c r="B76" s="71" t="n">
        <f aca="false">-B62</f>
        <v>-61.28171739</v>
      </c>
    </row>
    <row r="77" customFormat="false" ht="15" hidden="false" customHeight="true" outlineLevel="0" collapsed="false">
      <c r="A77" s="1" t="s">
        <v>398</v>
      </c>
      <c r="B77" s="72" t="n">
        <f aca="false">((Nota28!B43+Nota28!B52)-(Nota28!C43+Nota28!C52))/$B$3</f>
        <v>20.159478</v>
      </c>
      <c r="D77" s="73" t="s">
        <v>399</v>
      </c>
    </row>
    <row r="78" customFormat="false" ht="15" hidden="false" customHeight="true" outlineLevel="0" collapsed="false">
      <c r="A78" s="1" t="s">
        <v>400</v>
      </c>
      <c r="B78" s="71" t="n">
        <f aca="false">B76+B77</f>
        <v>-41.12223939</v>
      </c>
    </row>
    <row r="79" customFormat="false" ht="15" hidden="false" customHeight="true" outlineLevel="0" collapsed="false">
      <c r="A79" s="70" t="s">
        <v>401</v>
      </c>
      <c r="B79" s="74" t="n">
        <f aca="false">B75+B78</f>
        <v>18.08423761</v>
      </c>
    </row>
    <row r="80" customFormat="false" ht="15" hidden="false" customHeight="true" outlineLevel="0" collapsed="false">
      <c r="A80" s="1" t="s">
        <v>402</v>
      </c>
      <c r="B80" s="72" t="n">
        <f aca="false">Nota9!C55</f>
        <v>-2.94276386000001</v>
      </c>
      <c r="D80" s="73" t="s">
        <v>403</v>
      </c>
    </row>
    <row r="81" customFormat="false" ht="15" hidden="false" customHeight="true" outlineLevel="0" collapsed="false">
      <c r="A81" s="70" t="s">
        <v>404</v>
      </c>
      <c r="B81" s="74" t="n">
        <f aca="false">B82-B79-B80</f>
        <v>-45.17056675</v>
      </c>
      <c r="D81" s="73" t="s">
        <v>405</v>
      </c>
    </row>
    <row r="82" customFormat="false" ht="15" hidden="false" customHeight="true" outlineLevel="0" collapsed="false">
      <c r="A82" s="1" t="s">
        <v>406</v>
      </c>
      <c r="B82" s="71" t="n">
        <f aca="false">B45/$B$3</f>
        <v>-30.029093</v>
      </c>
    </row>
    <row r="83" customFormat="false" ht="15" hidden="false" customHeight="true" outlineLevel="0" collapsed="false">
      <c r="A83" s="1" t="s">
        <v>407</v>
      </c>
      <c r="B83" s="72" t="n">
        <f aca="false">(B7-Nota28!B115+B8)/$B$3</f>
        <v>-45.55383125</v>
      </c>
      <c r="D83" s="73" t="s">
        <v>408</v>
      </c>
    </row>
    <row r="85" customFormat="false" ht="15" hidden="false" customHeight="true" outlineLevel="0" collapsed="false">
      <c r="A85" s="70" t="s">
        <v>409</v>
      </c>
    </row>
    <row r="86" customFormat="false" ht="15" hidden="false" customHeight="true" outlineLevel="0" collapsed="false">
      <c r="A86" s="75" t="s">
        <v>410</v>
      </c>
    </row>
    <row r="87" customFormat="false" ht="15" hidden="false" customHeight="true" outlineLevel="0" collapsed="false">
      <c r="A87" s="75" t="s">
        <v>411</v>
      </c>
    </row>
    <row r="88" customFormat="false" ht="15" hidden="false" customHeight="true" outlineLevel="0" collapsed="false">
      <c r="A88" s="75" t="s">
        <v>412</v>
      </c>
    </row>
    <row r="89" customFormat="false" ht="15" hidden="false" customHeight="true" outlineLevel="0" collapsed="false">
      <c r="A89" s="75" t="s">
        <v>413</v>
      </c>
    </row>
  </sheetData>
  <mergeCells count="3">
    <mergeCell ref="A68:E68"/>
    <mergeCell ref="A69:E69"/>
    <mergeCell ref="A70:E7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2"/>
    <col collapsed="false" customWidth="true" hidden="false" outlineLevel="0" max="8" min="2" style="1" width="16"/>
  </cols>
  <sheetData>
    <row r="1" customFormat="false" ht="17.25" hidden="false" customHeight="true" outlineLevel="0" collapsed="false">
      <c r="A1" s="2" t="s">
        <v>98</v>
      </c>
    </row>
    <row r="2" customFormat="false" ht="15" hidden="false" customHeight="true" outlineLevel="0" collapsed="false">
      <c r="A2" s="3" t="s">
        <v>414</v>
      </c>
    </row>
    <row r="4" customFormat="false" ht="30" hidden="false" customHeight="true" outlineLevel="0" collapsed="false">
      <c r="A4" s="58" t="s">
        <v>415</v>
      </c>
      <c r="B4" s="59" t="s">
        <v>416</v>
      </c>
      <c r="C4" s="59" t="s">
        <v>417</v>
      </c>
      <c r="D4" s="59" t="s">
        <v>418</v>
      </c>
      <c r="E4" s="59" t="s">
        <v>39</v>
      </c>
      <c r="F4" s="59" t="s">
        <v>419</v>
      </c>
      <c r="G4" s="59" t="s">
        <v>420</v>
      </c>
      <c r="H4" s="59" t="s">
        <v>421</v>
      </c>
    </row>
    <row r="5" customFormat="false" ht="15" hidden="false" customHeight="true" outlineLevel="0" collapsed="false">
      <c r="A5" s="5" t="s">
        <v>422</v>
      </c>
      <c r="B5" s="6"/>
      <c r="C5" s="6"/>
      <c r="D5" s="6"/>
      <c r="E5" s="6"/>
      <c r="F5" s="6"/>
      <c r="G5" s="6"/>
      <c r="H5" s="6"/>
    </row>
    <row r="6" customFormat="false" ht="15" hidden="false" customHeight="true" outlineLevel="0" collapsed="false">
      <c r="A6" s="12" t="s">
        <v>423</v>
      </c>
      <c r="B6" s="26" t="n">
        <v>69575335.95</v>
      </c>
      <c r="C6" s="26" t="n">
        <v>9588872.08</v>
      </c>
      <c r="D6" s="26" t="n">
        <v>0</v>
      </c>
      <c r="E6" s="26" t="n">
        <v>3606042.2</v>
      </c>
      <c r="F6" s="26" t="n">
        <v>1028976.67</v>
      </c>
      <c r="G6" s="26" t="n">
        <v>868519.13</v>
      </c>
      <c r="H6" s="54" t="n">
        <f aca="false">SUM(B6:G6)</f>
        <v>84667746.03</v>
      </c>
    </row>
    <row r="7" customFormat="false" ht="15" hidden="false" customHeight="true" outlineLevel="0" collapsed="false">
      <c r="A7" s="12" t="s">
        <v>424</v>
      </c>
      <c r="B7" s="26" t="n">
        <v>0</v>
      </c>
      <c r="C7" s="26" t="n">
        <v>0</v>
      </c>
      <c r="D7" s="26" t="n">
        <v>0</v>
      </c>
      <c r="E7" s="26" t="n">
        <v>0</v>
      </c>
      <c r="F7" s="26" t="n">
        <v>0</v>
      </c>
      <c r="G7" s="26" t="n">
        <v>-37449.47</v>
      </c>
      <c r="H7" s="54" t="n">
        <f aca="false">SUM(B7:G7)</f>
        <v>-37449.47</v>
      </c>
    </row>
    <row r="8" customFormat="false" ht="15" hidden="false" customHeight="true" outlineLevel="0" collapsed="false">
      <c r="A8" s="12" t="s">
        <v>425</v>
      </c>
      <c r="B8" s="26" t="n">
        <v>0</v>
      </c>
      <c r="C8" s="26" t="n">
        <v>3606042.2</v>
      </c>
      <c r="D8" s="26" t="n">
        <v>0</v>
      </c>
      <c r="E8" s="26" t="n">
        <v>-3606042.2</v>
      </c>
      <c r="F8" s="26" t="n">
        <v>0</v>
      </c>
      <c r="G8" s="26" t="n">
        <v>0</v>
      </c>
      <c r="H8" s="54" t="n">
        <f aca="false">SUM(B8:G8)</f>
        <v>0</v>
      </c>
    </row>
    <row r="9" customFormat="false" ht="15" hidden="false" customHeight="true" outlineLevel="0" collapsed="false">
      <c r="A9" s="12" t="s">
        <v>426</v>
      </c>
      <c r="B9" s="26" t="n">
        <v>0</v>
      </c>
      <c r="C9" s="26" t="n">
        <v>0</v>
      </c>
      <c r="D9" s="26" t="n">
        <v>0</v>
      </c>
      <c r="E9" s="26" t="n">
        <v>-14121237.28</v>
      </c>
      <c r="F9" s="26" t="n">
        <v>0</v>
      </c>
      <c r="G9" s="26" t="n">
        <v>0</v>
      </c>
      <c r="H9" s="54" t="n">
        <f aca="false">SUM(B9:G9)</f>
        <v>-14121237.28</v>
      </c>
    </row>
    <row r="10" customFormat="false" ht="15" hidden="false" customHeight="true" outlineLevel="0" collapsed="false">
      <c r="A10" s="10" t="s">
        <v>427</v>
      </c>
      <c r="B10" s="66" t="n">
        <f aca="false">B6+B7+B8+B9</f>
        <v>69575335.95</v>
      </c>
      <c r="C10" s="66" t="n">
        <f aca="false">C6+C7+C8+C9</f>
        <v>13194914.28</v>
      </c>
      <c r="D10" s="66" t="n">
        <f aca="false">D6+D7+D8+D9</f>
        <v>0</v>
      </c>
      <c r="E10" s="66" t="n">
        <f aca="false">E6+E7+E8+E9</f>
        <v>-14121237.28</v>
      </c>
      <c r="F10" s="66" t="n">
        <f aca="false">F6+F7+F8+F9</f>
        <v>1028976.67</v>
      </c>
      <c r="G10" s="66" t="n">
        <f aca="false">G6+G7+G8+G9</f>
        <v>831069.66</v>
      </c>
      <c r="H10" s="66" t="n">
        <f aca="false">H6+H7+H8+H9</f>
        <v>70509059.28</v>
      </c>
    </row>
    <row r="12" customFormat="false" ht="15" hidden="false" customHeight="true" outlineLevel="0" collapsed="false">
      <c r="A12" s="5" t="s">
        <v>428</v>
      </c>
      <c r="B12" s="6"/>
      <c r="C12" s="6"/>
      <c r="D12" s="6"/>
      <c r="E12" s="6"/>
      <c r="F12" s="6"/>
      <c r="G12" s="6"/>
      <c r="H12" s="6"/>
    </row>
    <row r="13" customFormat="false" ht="15" hidden="false" customHeight="true" outlineLevel="0" collapsed="false">
      <c r="A13" s="12" t="s">
        <v>429</v>
      </c>
      <c r="B13" s="54" t="n">
        <f aca="false">B10</f>
        <v>69575335.95</v>
      </c>
      <c r="C13" s="54" t="n">
        <f aca="false">C10</f>
        <v>13194914.28</v>
      </c>
      <c r="D13" s="54" t="n">
        <f aca="false">D10</f>
        <v>0</v>
      </c>
      <c r="E13" s="54" t="n">
        <f aca="false">E10</f>
        <v>-14121237.28</v>
      </c>
      <c r="F13" s="54" t="n">
        <f aca="false">F10</f>
        <v>1028976.67</v>
      </c>
      <c r="G13" s="54" t="n">
        <f aca="false">G10</f>
        <v>831069.66</v>
      </c>
      <c r="H13" s="54" t="n">
        <f aca="false">H10</f>
        <v>70509059.28</v>
      </c>
    </row>
    <row r="14" customFormat="false" ht="15" hidden="false" customHeight="true" outlineLevel="0" collapsed="false">
      <c r="A14" s="12" t="s">
        <v>430</v>
      </c>
      <c r="B14" s="26" t="n">
        <v>0</v>
      </c>
      <c r="C14" s="26" t="n">
        <v>0</v>
      </c>
      <c r="D14" s="26" t="n">
        <v>0</v>
      </c>
      <c r="E14" s="26" t="n">
        <v>0</v>
      </c>
      <c r="F14" s="26" t="n">
        <v>0</v>
      </c>
      <c r="G14" s="26" t="n">
        <v>-160522.42</v>
      </c>
      <c r="H14" s="54" t="n">
        <f aca="false">SUM(B14:G14)</f>
        <v>-160522.42</v>
      </c>
    </row>
    <row r="15" customFormat="false" ht="15" hidden="false" customHeight="true" outlineLevel="0" collapsed="false">
      <c r="A15" s="12" t="s">
        <v>431</v>
      </c>
      <c r="B15" s="26" t="n">
        <v>0</v>
      </c>
      <c r="C15" s="26" t="n">
        <v>0</v>
      </c>
      <c r="D15" s="26" t="n">
        <v>-14121237.28</v>
      </c>
      <c r="E15" s="26" t="n">
        <v>14121237.28</v>
      </c>
      <c r="F15" s="26" t="n">
        <v>0</v>
      </c>
      <c r="G15" s="26" t="n">
        <v>0</v>
      </c>
      <c r="H15" s="54" t="n">
        <f aca="false">SUM(B15:G15)</f>
        <v>0</v>
      </c>
    </row>
    <row r="16" customFormat="false" ht="15" hidden="false" customHeight="true" outlineLevel="0" collapsed="false">
      <c r="A16" s="12" t="s">
        <v>432</v>
      </c>
      <c r="B16" s="26" t="n">
        <v>0</v>
      </c>
      <c r="C16" s="26" t="n">
        <v>0</v>
      </c>
      <c r="D16" s="26" t="n">
        <v>0</v>
      </c>
      <c r="E16" s="26" t="n">
        <v>13711248.56</v>
      </c>
      <c r="F16" s="26" t="n">
        <v>0</v>
      </c>
      <c r="G16" s="26" t="n">
        <v>0</v>
      </c>
      <c r="H16" s="54" t="n">
        <f aca="false">SUM(B16:G16)</f>
        <v>13711248.56</v>
      </c>
    </row>
    <row r="17" customFormat="false" ht="15" hidden="false" customHeight="true" outlineLevel="0" collapsed="false">
      <c r="A17" s="10" t="s">
        <v>433</v>
      </c>
      <c r="B17" s="66" t="n">
        <f aca="false">B13+B14+B15+B16</f>
        <v>69575335.95</v>
      </c>
      <c r="C17" s="66" t="n">
        <f aca="false">C13+C14+C15+C16</f>
        <v>13194914.28</v>
      </c>
      <c r="D17" s="66" t="n">
        <f aca="false">D13+D14+D15+D16</f>
        <v>-14121237.28</v>
      </c>
      <c r="E17" s="66" t="n">
        <f aca="false">E13+E14+E15+E16</f>
        <v>13711248.56</v>
      </c>
      <c r="F17" s="66" t="n">
        <f aca="false">F13+F14+F15+F16</f>
        <v>1028976.67</v>
      </c>
      <c r="G17" s="66" t="n">
        <f aca="false">G13+G14+G15+G16</f>
        <v>670547.24</v>
      </c>
      <c r="H17" s="66" t="n">
        <f aca="false">H13+H14+H15+H16</f>
        <v>84059785.42</v>
      </c>
    </row>
    <row r="19" customFormat="false" ht="15" hidden="false" customHeight="true" outlineLevel="0" collapsed="false">
      <c r="A19" s="12" t="s">
        <v>434</v>
      </c>
      <c r="G19" s="30" t="n">
        <f aca="false">ROUND(H10-Balance!D36,2)</f>
        <v>0</v>
      </c>
      <c r="H19" s="30" t="n">
        <f aca="false">ROUND(H17-Balance!C36,2)</f>
        <v>0</v>
      </c>
    </row>
    <row r="20" customFormat="false" ht="15" hidden="false" customHeight="true" outlineLevel="0" collapsed="false">
      <c r="A20" s="10" t="s">
        <v>83</v>
      </c>
      <c r="H20" s="10" t="str">
        <f aca="false">IF(AND(G19=0,H19=0),"OK","REVISAR")</f>
        <v>OK</v>
      </c>
    </row>
    <row r="22" customFormat="false" ht="15" hidden="false" customHeight="true" outlineLevel="0" collapsed="false">
      <c r="A22" s="12" t="s">
        <v>435</v>
      </c>
    </row>
    <row r="23" customFormat="false" ht="15" hidden="false" customHeight="true" outlineLevel="0" collapsed="false">
      <c r="A23" s="12" t="s">
        <v>436</v>
      </c>
    </row>
    <row r="24" customFormat="false" ht="15" hidden="false" customHeight="true" outlineLevel="0" collapsed="false">
      <c r="A24" s="12" t="s">
        <v>437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0"/>
    <col collapsed="false" customWidth="true" hidden="false" outlineLevel="0" max="6" min="2" style="1" width="20"/>
  </cols>
  <sheetData>
    <row r="1" customFormat="false" ht="17.25" hidden="false" customHeight="true" outlineLevel="0" collapsed="false">
      <c r="A1" s="2" t="s">
        <v>438</v>
      </c>
    </row>
    <row r="2" customFormat="false" ht="15" hidden="false" customHeight="true" outlineLevel="0" collapsed="false">
      <c r="A2" s="3" t="s">
        <v>439</v>
      </c>
    </row>
    <row r="3" customFormat="false" ht="15" hidden="false" customHeight="true" outlineLevel="0" collapsed="false">
      <c r="A3" s="10" t="s">
        <v>329</v>
      </c>
      <c r="B3" s="57" t="n">
        <f aca="false">Balance!$B$3</f>
        <v>1000000</v>
      </c>
    </row>
    <row r="4" customFormat="false" ht="15" hidden="false" customHeight="true" outlineLevel="0" collapsed="false">
      <c r="A4" s="3" t="s">
        <v>267</v>
      </c>
    </row>
    <row r="6" customFormat="false" ht="42" hidden="false" customHeight="true" outlineLevel="0" collapsed="false">
      <c r="A6" s="34" t="s">
        <v>415</v>
      </c>
      <c r="B6" s="35" t="s">
        <v>440</v>
      </c>
      <c r="C6" s="35" t="s">
        <v>441</v>
      </c>
      <c r="D6" s="35" t="s">
        <v>204</v>
      </c>
      <c r="E6" s="35" t="s">
        <v>442</v>
      </c>
      <c r="F6" s="35" t="s">
        <v>443</v>
      </c>
    </row>
    <row r="7" customFormat="false" ht="15" hidden="false" customHeight="true" outlineLevel="0" collapsed="false">
      <c r="A7" s="5" t="s">
        <v>444</v>
      </c>
      <c r="B7" s="6"/>
      <c r="C7" s="6"/>
      <c r="D7" s="6"/>
      <c r="E7" s="6"/>
      <c r="F7" s="6"/>
    </row>
    <row r="8" customFormat="false" ht="15" hidden="false" customHeight="true" outlineLevel="0" collapsed="false">
      <c r="A8" s="7" t="s">
        <v>445</v>
      </c>
      <c r="B8" s="26" t="n">
        <v>133920510.48</v>
      </c>
      <c r="C8" s="26" t="n">
        <v>105036487.05</v>
      </c>
      <c r="D8" s="26" t="n">
        <v>278590.48</v>
      </c>
      <c r="E8" s="26" t="n">
        <v>572160.33</v>
      </c>
      <c r="F8" s="54" t="n">
        <f aca="false">SUM(B8:E8)</f>
        <v>239807748.34</v>
      </c>
    </row>
    <row r="9" customFormat="false" ht="15" hidden="false" customHeight="true" outlineLevel="0" collapsed="false">
      <c r="A9" s="7" t="s">
        <v>446</v>
      </c>
      <c r="B9" s="26" t="n">
        <v>22947517.59</v>
      </c>
      <c r="C9" s="26" t="n">
        <v>3877758.23</v>
      </c>
      <c r="D9" s="26" t="n">
        <v>0</v>
      </c>
      <c r="E9" s="26" t="n">
        <v>0</v>
      </c>
      <c r="F9" s="54" t="n">
        <f aca="false">SUM(B9:E9)</f>
        <v>26825275.82</v>
      </c>
    </row>
    <row r="10" customFormat="false" ht="15" hidden="false" customHeight="true" outlineLevel="0" collapsed="false">
      <c r="A10" s="7" t="s">
        <v>447</v>
      </c>
      <c r="B10" s="26" t="n">
        <v>-36254244.56</v>
      </c>
      <c r="C10" s="26" t="n">
        <v>-51114.4</v>
      </c>
      <c r="D10" s="26" t="n">
        <v>0</v>
      </c>
      <c r="E10" s="26" t="n">
        <v>0</v>
      </c>
      <c r="F10" s="54" t="n">
        <f aca="false">SUM(B10:E10)</f>
        <v>-36305358.96</v>
      </c>
    </row>
    <row r="11" customFormat="false" ht="15" hidden="false" customHeight="true" outlineLevel="0" collapsed="false">
      <c r="A11" s="40" t="s">
        <v>448</v>
      </c>
      <c r="B11" s="66" t="n">
        <f aca="false">B8+B9+B10</f>
        <v>120613783.51</v>
      </c>
      <c r="C11" s="66" t="n">
        <f aca="false">C8+C9+C10</f>
        <v>108863130.88</v>
      </c>
      <c r="D11" s="66" t="n">
        <f aca="false">D8+D9+D10</f>
        <v>278590.48</v>
      </c>
      <c r="E11" s="66" t="n">
        <f aca="false">E8+E9+E10</f>
        <v>572160.33</v>
      </c>
      <c r="F11" s="66" t="n">
        <f aca="false">F8+F9+F10</f>
        <v>230327665.2</v>
      </c>
    </row>
    <row r="12" customFormat="false" ht="15" hidden="false" customHeight="true" outlineLevel="0" collapsed="false">
      <c r="A12" s="5" t="s">
        <v>449</v>
      </c>
      <c r="B12" s="6"/>
      <c r="C12" s="6"/>
      <c r="D12" s="6"/>
      <c r="E12" s="6"/>
      <c r="F12" s="6"/>
    </row>
    <row r="13" customFormat="false" ht="15" hidden="false" customHeight="true" outlineLevel="0" collapsed="false">
      <c r="A13" s="7" t="s">
        <v>446</v>
      </c>
      <c r="B13" s="26" t="n">
        <v>61281717.39</v>
      </c>
      <c r="C13" s="26" t="n">
        <v>1619947.48</v>
      </c>
      <c r="D13" s="26" t="n">
        <v>0</v>
      </c>
      <c r="E13" s="26" t="n">
        <v>0</v>
      </c>
      <c r="F13" s="54" t="n">
        <f aca="false">SUM(B13:E13)</f>
        <v>62901664.87</v>
      </c>
    </row>
    <row r="14" customFormat="false" ht="15" hidden="false" customHeight="true" outlineLevel="0" collapsed="false">
      <c r="A14" s="7" t="s">
        <v>447</v>
      </c>
      <c r="B14" s="26" t="n">
        <v>-35384067.43</v>
      </c>
      <c r="C14" s="26" t="n">
        <v>0</v>
      </c>
      <c r="D14" s="26" t="n">
        <v>0</v>
      </c>
      <c r="E14" s="26" t="n">
        <v>0</v>
      </c>
      <c r="F14" s="54" t="n">
        <f aca="false">SUM(B14:E14)</f>
        <v>-35384067.43</v>
      </c>
    </row>
    <row r="15" customFormat="false" ht="15" hidden="false" customHeight="true" outlineLevel="0" collapsed="false">
      <c r="A15" s="7" t="s">
        <v>450</v>
      </c>
      <c r="B15" s="26" t="n">
        <v>-150919.4</v>
      </c>
      <c r="C15" s="26" t="n">
        <v>0</v>
      </c>
      <c r="D15" s="26" t="n">
        <v>0</v>
      </c>
      <c r="E15" s="26" t="n">
        <v>0</v>
      </c>
      <c r="F15" s="54" t="n">
        <f aca="false">SUM(B15:E15)</f>
        <v>-150919.4</v>
      </c>
    </row>
    <row r="16" customFormat="false" ht="15" hidden="false" customHeight="true" outlineLevel="0" collapsed="false">
      <c r="A16" s="40" t="s">
        <v>451</v>
      </c>
      <c r="B16" s="66" t="n">
        <f aca="false">B11+B13+B14+B15</f>
        <v>146360514.07</v>
      </c>
      <c r="C16" s="66" t="n">
        <f aca="false">C11+C13+C14+C15</f>
        <v>110483078.36</v>
      </c>
      <c r="D16" s="66" t="n">
        <f aca="false">D11+D13+D14+D15</f>
        <v>278590.48</v>
      </c>
      <c r="E16" s="66" t="n">
        <f aca="false">E11+E13+E14+E15</f>
        <v>572160.33</v>
      </c>
      <c r="F16" s="66" t="n">
        <f aca="false">F11+F13+F14+F15</f>
        <v>257694343.24</v>
      </c>
    </row>
    <row r="17" customFormat="false" ht="15" hidden="false" customHeight="true" outlineLevel="0" collapsed="false">
      <c r="A17" s="5" t="s">
        <v>452</v>
      </c>
      <c r="B17" s="6"/>
      <c r="C17" s="6"/>
      <c r="D17" s="6"/>
      <c r="E17" s="6"/>
      <c r="F17" s="6"/>
    </row>
    <row r="18" customFormat="false" ht="15" hidden="false" customHeight="true" outlineLevel="0" collapsed="false">
      <c r="A18" s="7" t="s">
        <v>453</v>
      </c>
      <c r="B18" s="26" t="n">
        <v>82258264.95</v>
      </c>
      <c r="C18" s="26" t="n">
        <v>33589860.36</v>
      </c>
      <c r="D18" s="26" t="n">
        <v>117156.36</v>
      </c>
      <c r="E18" s="26" t="n">
        <v>572160.33</v>
      </c>
      <c r="F18" s="54" t="n">
        <f aca="false">SUM(B18:E18)</f>
        <v>116537442</v>
      </c>
    </row>
    <row r="19" customFormat="false" ht="15" hidden="false" customHeight="true" outlineLevel="0" collapsed="false">
      <c r="A19" s="7" t="s">
        <v>454</v>
      </c>
      <c r="B19" s="26" t="n">
        <v>23646278.22</v>
      </c>
      <c r="C19" s="26" t="n">
        <v>2134055.39</v>
      </c>
      <c r="D19" s="26" t="n">
        <v>8968.56</v>
      </c>
      <c r="E19" s="26" t="n">
        <v>0</v>
      </c>
      <c r="F19" s="54" t="n">
        <f aca="false">SUM(B19:E19)</f>
        <v>25789302.17</v>
      </c>
    </row>
    <row r="20" customFormat="false" ht="15" hidden="false" customHeight="true" outlineLevel="0" collapsed="false">
      <c r="A20" s="7" t="s">
        <v>455</v>
      </c>
      <c r="B20" s="26" t="n">
        <v>-34240387.28</v>
      </c>
      <c r="C20" s="26" t="n">
        <v>0</v>
      </c>
      <c r="D20" s="26" t="n">
        <v>0</v>
      </c>
      <c r="E20" s="26" t="n">
        <v>0</v>
      </c>
      <c r="F20" s="54" t="n">
        <f aca="false">SUM(B20:E20)</f>
        <v>-34240387.28</v>
      </c>
    </row>
    <row r="21" customFormat="false" ht="15" hidden="false" customHeight="true" outlineLevel="0" collapsed="false">
      <c r="A21" s="40" t="s">
        <v>456</v>
      </c>
      <c r="B21" s="66" t="n">
        <f aca="false">B18+B19+B20</f>
        <v>71664155.89</v>
      </c>
      <c r="C21" s="66" t="n">
        <f aca="false">C18+C19+C20</f>
        <v>35723915.75</v>
      </c>
      <c r="D21" s="66" t="n">
        <f aca="false">D18+D19+D20</f>
        <v>126124.92</v>
      </c>
      <c r="E21" s="66" t="n">
        <f aca="false">E18+E19+E20</f>
        <v>572160.33</v>
      </c>
      <c r="F21" s="66" t="n">
        <f aca="false">F18+F19+F20</f>
        <v>108086356.89</v>
      </c>
    </row>
    <row r="22" customFormat="false" ht="15" hidden="false" customHeight="true" outlineLevel="0" collapsed="false">
      <c r="A22" s="5" t="s">
        <v>457</v>
      </c>
      <c r="B22" s="6"/>
      <c r="C22" s="6"/>
      <c r="D22" s="6"/>
      <c r="E22" s="6"/>
      <c r="F22" s="6"/>
    </row>
    <row r="23" customFormat="false" ht="15" hidden="false" customHeight="true" outlineLevel="0" collapsed="false">
      <c r="A23" s="7" t="s">
        <v>458</v>
      </c>
      <c r="B23" s="26" t="n">
        <v>25305119.44</v>
      </c>
      <c r="C23" s="26" t="n">
        <v>2339801.95</v>
      </c>
      <c r="D23" s="26" t="n">
        <v>8968.56</v>
      </c>
      <c r="E23" s="26" t="n">
        <v>0</v>
      </c>
      <c r="F23" s="54" t="n">
        <f aca="false">SUM(B23:E23)</f>
        <v>27653889.95</v>
      </c>
    </row>
    <row r="24" customFormat="false" ht="15" hidden="false" customHeight="true" outlineLevel="0" collapsed="false">
      <c r="A24" s="7" t="s">
        <v>455</v>
      </c>
      <c r="B24" s="26" t="n">
        <v>-17993793.28</v>
      </c>
      <c r="C24" s="26" t="n">
        <v>0</v>
      </c>
      <c r="D24" s="26" t="n">
        <v>0</v>
      </c>
      <c r="E24" s="26" t="n">
        <v>0</v>
      </c>
      <c r="F24" s="54" t="n">
        <f aca="false">SUM(B24:E24)</f>
        <v>-17993793.28</v>
      </c>
    </row>
    <row r="25" customFormat="false" ht="15" hidden="false" customHeight="true" outlineLevel="0" collapsed="false">
      <c r="A25" s="40" t="s">
        <v>459</v>
      </c>
      <c r="B25" s="66" t="n">
        <f aca="false">B21+B23+B24</f>
        <v>78975482.05</v>
      </c>
      <c r="C25" s="66" t="n">
        <f aca="false">C21+C23+C24</f>
        <v>38063717.7</v>
      </c>
      <c r="D25" s="66" t="n">
        <f aca="false">D21+D23+D24</f>
        <v>135093.48</v>
      </c>
      <c r="E25" s="66" t="n">
        <f aca="false">E21+E23+E24</f>
        <v>572160.33</v>
      </c>
      <c r="F25" s="66" t="n">
        <f aca="false">F21+F23+F24</f>
        <v>117746453.56</v>
      </c>
    </row>
    <row r="26" customFormat="false" ht="15" hidden="false" customHeight="true" outlineLevel="0" collapsed="false">
      <c r="A26" s="3" t="s">
        <v>460</v>
      </c>
    </row>
    <row r="28" customFormat="false" ht="15" hidden="false" customHeight="true" outlineLevel="0" collapsed="false">
      <c r="A28" s="5" t="s">
        <v>461</v>
      </c>
      <c r="B28" s="6"/>
      <c r="C28" s="6"/>
      <c r="D28" s="6"/>
      <c r="E28" s="6"/>
      <c r="F28" s="6"/>
    </row>
    <row r="29" customFormat="false" ht="15" hidden="false" customHeight="true" outlineLevel="0" collapsed="false">
      <c r="A29" s="10" t="s">
        <v>462</v>
      </c>
      <c r="B29" s="27" t="n">
        <f aca="false">B16-B25</f>
        <v>67385032.02</v>
      </c>
      <c r="C29" s="27" t="n">
        <f aca="false">C16-C25</f>
        <v>72419360.66</v>
      </c>
      <c r="D29" s="27" t="n">
        <f aca="false">D16-D25</f>
        <v>143497</v>
      </c>
      <c r="E29" s="27" t="n">
        <f aca="false">E16-E25</f>
        <v>0</v>
      </c>
      <c r="F29" s="27" t="n">
        <f aca="false">F16-F25</f>
        <v>139947889.68</v>
      </c>
    </row>
    <row r="30" customFormat="false" ht="15" hidden="false" customHeight="true" outlineLevel="0" collapsed="false">
      <c r="A30" s="10" t="s">
        <v>463</v>
      </c>
      <c r="B30" s="27" t="n">
        <f aca="false">B11-B21</f>
        <v>48949627.62</v>
      </c>
      <c r="C30" s="27" t="n">
        <f aca="false">C11-C21</f>
        <v>73139215.13</v>
      </c>
      <c r="D30" s="27" t="n">
        <f aca="false">D11-D21</f>
        <v>152465.56</v>
      </c>
      <c r="E30" s="27" t="n">
        <f aca="false">E11-E21</f>
        <v>0</v>
      </c>
      <c r="F30" s="27" t="n">
        <f aca="false">F11-F21</f>
        <v>122241308.31</v>
      </c>
    </row>
    <row r="31" customFormat="false" ht="15" hidden="false" customHeight="true" outlineLevel="0" collapsed="false">
      <c r="A31" s="12" t="s">
        <v>464</v>
      </c>
      <c r="B31" s="61" t="n">
        <f aca="false">Balance!C11</f>
        <v>67385032.02</v>
      </c>
      <c r="C31" s="61" t="n">
        <f aca="false">Balance!C9</f>
        <v>72419360.66</v>
      </c>
      <c r="D31" s="61" t="n">
        <f aca="false">Balance!C10</f>
        <v>143497</v>
      </c>
      <c r="F31" s="61" t="n">
        <f aca="false">Balance!C12</f>
        <v>139947889.68</v>
      </c>
    </row>
    <row r="32" customFormat="false" ht="15" hidden="false" customHeight="true" outlineLevel="0" collapsed="false">
      <c r="A32" s="12" t="s">
        <v>465</v>
      </c>
      <c r="B32" s="61" t="n">
        <f aca="false">Balance!D11</f>
        <v>48949627.62</v>
      </c>
      <c r="C32" s="61" t="n">
        <f aca="false">Balance!D9</f>
        <v>73139215.13</v>
      </c>
      <c r="D32" s="61" t="n">
        <f aca="false">Balance!D10</f>
        <v>152465.56</v>
      </c>
      <c r="F32" s="61" t="n">
        <f aca="false">Balance!D12</f>
        <v>122241308.31</v>
      </c>
    </row>
    <row r="33" customFormat="false" ht="15" hidden="false" customHeight="true" outlineLevel="0" collapsed="false">
      <c r="A33" s="12" t="s">
        <v>466</v>
      </c>
      <c r="B33" s="54" t="n">
        <f aca="false">ROUND(B29-B31,2)</f>
        <v>0</v>
      </c>
      <c r="C33" s="54" t="n">
        <f aca="false">ROUND(C29-C31,2)</f>
        <v>0</v>
      </c>
      <c r="D33" s="54" t="n">
        <f aca="false">ROUND(D29-D31,2)</f>
        <v>0</v>
      </c>
      <c r="F33" s="54" t="n">
        <f aca="false">ROUND(F29-F31,2)</f>
        <v>0</v>
      </c>
    </row>
    <row r="34" customFormat="false" ht="15" hidden="false" customHeight="true" outlineLevel="0" collapsed="false">
      <c r="A34" s="12" t="s">
        <v>467</v>
      </c>
      <c r="B34" s="54" t="n">
        <f aca="false">ROUND(B30-B32,2)</f>
        <v>0</v>
      </c>
      <c r="C34" s="54" t="n">
        <f aca="false">ROUND(C30-C32,2)</f>
        <v>0</v>
      </c>
      <c r="D34" s="54" t="n">
        <f aca="false">ROUND(D30-D32,2)</f>
        <v>0</v>
      </c>
      <c r="F34" s="54" t="n">
        <f aca="false">ROUND(F30-F32,2)</f>
        <v>0</v>
      </c>
    </row>
    <row r="35" customFormat="false" ht="15" hidden="false" customHeight="true" outlineLevel="0" collapsed="false">
      <c r="A35" s="10" t="s">
        <v>83</v>
      </c>
      <c r="B35" s="10" t="str">
        <f aca="false">IF(AND(B33=0,C33=0,D33=0,F33=0,B34=0,C34=0,D34=0,F34=0),"OK","REVISAR")</f>
        <v>OK</v>
      </c>
    </row>
    <row r="36" customFormat="false" ht="15" hidden="false" customHeight="true" outlineLevel="0" collapsed="false">
      <c r="A36" s="3" t="s">
        <v>468</v>
      </c>
    </row>
    <row r="38" customFormat="false" ht="15" hidden="false" customHeight="true" outlineLevel="0" collapsed="false">
      <c r="A38" s="5" t="s">
        <v>375</v>
      </c>
      <c r="B38" s="6"/>
      <c r="C38" s="6"/>
      <c r="D38" s="6"/>
      <c r="E38" s="6"/>
      <c r="F38" s="6"/>
    </row>
    <row r="39" customFormat="false" ht="15" hidden="false" customHeight="true" outlineLevel="0" collapsed="false">
      <c r="A39" s="76" t="s">
        <v>469</v>
      </c>
      <c r="B39" s="65" t="n">
        <f aca="false">B13/$B$3</f>
        <v>61.28171739</v>
      </c>
      <c r="C39" s="65" t="n">
        <f aca="false">B9/$B$3</f>
        <v>22.94751759</v>
      </c>
      <c r="D39" s="3" t="s">
        <v>470</v>
      </c>
    </row>
    <row r="40" customFormat="false" ht="15" hidden="false" customHeight="true" outlineLevel="0" collapsed="false">
      <c r="A40" s="76" t="s">
        <v>471</v>
      </c>
      <c r="B40" s="65" t="n">
        <f aca="false">-B14/$B$3</f>
        <v>35.38406743</v>
      </c>
      <c r="C40" s="65" t="n">
        <f aca="false">-B10/$B$3</f>
        <v>36.25424456</v>
      </c>
      <c r="D40" s="3"/>
    </row>
    <row r="41" customFormat="false" ht="15" hidden="false" customHeight="true" outlineLevel="0" collapsed="false">
      <c r="A41" s="76" t="s">
        <v>472</v>
      </c>
      <c r="B41" s="65" t="n">
        <f aca="false">-B24/$B$3</f>
        <v>17.99379328</v>
      </c>
      <c r="C41" s="65" t="n">
        <f aca="false">-B20/$B$3</f>
        <v>34.24038728</v>
      </c>
      <c r="D41" s="3"/>
    </row>
    <row r="42" customFormat="false" ht="15" hidden="false" customHeight="true" outlineLevel="0" collapsed="false">
      <c r="A42" s="76" t="s">
        <v>473</v>
      </c>
      <c r="B42" s="65" t="n">
        <f aca="false">B40-B41</f>
        <v>17.39027415</v>
      </c>
      <c r="C42" s="65" t="n">
        <f aca="false">C40-C41</f>
        <v>2.01385728</v>
      </c>
      <c r="D42" s="3" t="s">
        <v>474</v>
      </c>
    </row>
    <row r="43" customFormat="false" ht="15" hidden="false" customHeight="true" outlineLevel="0" collapsed="false">
      <c r="A43" s="76" t="s">
        <v>475</v>
      </c>
      <c r="B43" s="65" t="n">
        <f aca="false">PyG!C26/$B$3</f>
        <v>94.7204185</v>
      </c>
      <c r="C43" s="65" t="n">
        <f aca="false">PyG!D26/$B$3</f>
        <v>24.74990789</v>
      </c>
      <c r="D43" s="3" t="s">
        <v>476</v>
      </c>
    </row>
    <row r="44" customFormat="false" ht="15" hidden="false" customHeight="true" outlineLevel="0" collapsed="false">
      <c r="A44" s="76" t="s">
        <v>477</v>
      </c>
      <c r="B44" s="77" t="n">
        <f aca="false">B42+B43</f>
        <v>112.11069265</v>
      </c>
      <c r="C44" s="77" t="n">
        <f aca="false">C42+C43</f>
        <v>26.76376517</v>
      </c>
      <c r="D44" s="3" t="s">
        <v>478</v>
      </c>
    </row>
    <row r="45" customFormat="false" ht="15" hidden="false" customHeight="true" outlineLevel="0" collapsed="false">
      <c r="A45" s="76" t="s">
        <v>479</v>
      </c>
      <c r="B45" s="65" t="n">
        <f aca="false">B23/$B$3</f>
        <v>25.30511944</v>
      </c>
      <c r="C45" s="65" t="n">
        <f aca="false">B19/$B$3</f>
        <v>23.64627822</v>
      </c>
      <c r="D45" s="3"/>
    </row>
    <row r="46" customFormat="false" ht="15" hidden="false" customHeight="true" outlineLevel="0" collapsed="false">
      <c r="A46" s="76" t="s">
        <v>480</v>
      </c>
      <c r="B46" s="65" t="n">
        <f aca="false">F23/$B$3</f>
        <v>27.65388995</v>
      </c>
      <c r="C46" s="65" t="n">
        <f aca="false">F19/$B$3</f>
        <v>25.78930217</v>
      </c>
      <c r="D46" s="3"/>
    </row>
    <row r="47" customFormat="false" ht="15" hidden="false" customHeight="true" outlineLevel="0" collapsed="false">
      <c r="A47" s="76" t="s">
        <v>481</v>
      </c>
      <c r="B47" s="65" t="n">
        <f aca="false">-PyG!C24/$B$3</f>
        <v>30.17703507</v>
      </c>
      <c r="C47" s="65" t="n">
        <f aca="false">-PyG!D24/$B$3</f>
        <v>27.89770451</v>
      </c>
      <c r="D47" s="3"/>
    </row>
    <row r="48" customFormat="false" ht="23.25" hidden="false" customHeight="true" outlineLevel="0" collapsed="false">
      <c r="A48" s="76" t="s">
        <v>482</v>
      </c>
      <c r="B48" s="65" t="n">
        <f aca="false">B47-B46</f>
        <v>2.52314512</v>
      </c>
      <c r="C48" s="65" t="n">
        <f aca="false">C47-C46</f>
        <v>2.10840234</v>
      </c>
      <c r="D48" s="17" t="s">
        <v>483</v>
      </c>
    </row>
    <row r="50" customFormat="false" ht="15" hidden="false" customHeight="true" outlineLevel="0" collapsed="false">
      <c r="A50" s="5" t="s">
        <v>484</v>
      </c>
      <c r="B50" s="6"/>
      <c r="C50" s="6"/>
      <c r="D50" s="78" t="s">
        <v>485</v>
      </c>
      <c r="E50" s="6"/>
      <c r="F50" s="6"/>
    </row>
    <row r="51" customFormat="false" ht="15" hidden="false" customHeight="true" outlineLevel="0" collapsed="false">
      <c r="A51" s="10" t="s">
        <v>2</v>
      </c>
      <c r="B51" s="10" t="s">
        <v>194</v>
      </c>
      <c r="C51" s="10" t="s">
        <v>195</v>
      </c>
      <c r="D51" s="10" t="s">
        <v>486</v>
      </c>
    </row>
    <row r="52" customFormat="false" ht="15" hidden="false" customHeight="true" outlineLevel="0" collapsed="false">
      <c r="A52" s="79" t="s">
        <v>487</v>
      </c>
      <c r="B52" s="80" t="n">
        <v>13</v>
      </c>
      <c r="C52" s="80" t="n">
        <v>7</v>
      </c>
      <c r="D52" s="3"/>
    </row>
    <row r="53" customFormat="false" ht="15" hidden="false" customHeight="true" outlineLevel="0" collapsed="false">
      <c r="A53" s="79" t="s">
        <v>488</v>
      </c>
      <c r="B53" s="26" t="n">
        <v>114235750</v>
      </c>
      <c r="C53" s="26" t="n">
        <v>24076013.7</v>
      </c>
      <c r="D53" s="3"/>
    </row>
    <row r="54" customFormat="false" ht="15" hidden="false" customHeight="true" outlineLevel="0" collapsed="false">
      <c r="A54" s="79" t="s">
        <v>489</v>
      </c>
      <c r="B54" s="26" t="n">
        <v>28245532.48</v>
      </c>
      <c r="C54" s="26" t="n">
        <v>2674000</v>
      </c>
      <c r="D54" s="3"/>
    </row>
    <row r="55" customFormat="false" ht="15" hidden="false" customHeight="true" outlineLevel="0" collapsed="false">
      <c r="A55" s="79" t="s">
        <v>490</v>
      </c>
      <c r="B55" s="26" t="n">
        <v>16685274.15</v>
      </c>
      <c r="C55" s="26" t="n">
        <v>288138.89</v>
      </c>
      <c r="D55" s="3"/>
    </row>
    <row r="56" customFormat="false" ht="15" hidden="false" customHeight="true" outlineLevel="0" collapsed="false">
      <c r="A56" s="79" t="s">
        <v>491</v>
      </c>
      <c r="B56" s="54" t="n">
        <f aca="false">B53-B55</f>
        <v>97550475.85</v>
      </c>
      <c r="C56" s="54" t="n">
        <f aca="false">C53-C55</f>
        <v>23787874.81</v>
      </c>
      <c r="D56" s="3" t="s">
        <v>492</v>
      </c>
    </row>
    <row r="57" customFormat="false" ht="15" hidden="false" customHeight="true" outlineLevel="0" collapsed="false">
      <c r="A57" s="79" t="s">
        <v>493</v>
      </c>
      <c r="B57" s="26" t="n">
        <v>-4017445</v>
      </c>
      <c r="C57" s="26" t="n">
        <v>-1504000</v>
      </c>
      <c r="D57" s="3"/>
    </row>
    <row r="58" customFormat="false" ht="15" hidden="false" customHeight="true" outlineLevel="0" collapsed="false">
      <c r="A58" s="79" t="s">
        <v>494</v>
      </c>
      <c r="B58" s="26" t="n">
        <v>-2758732.6</v>
      </c>
      <c r="C58" s="26" t="n">
        <v>-13500</v>
      </c>
      <c r="D58" s="3" t="s">
        <v>495</v>
      </c>
    </row>
    <row r="59" customFormat="false" ht="15" hidden="false" customHeight="true" outlineLevel="0" collapsed="false">
      <c r="A59" s="79" t="s">
        <v>496</v>
      </c>
      <c r="B59" s="26" t="n">
        <v>66985.47</v>
      </c>
      <c r="C59" s="26" t="n">
        <v>0</v>
      </c>
      <c r="D59" s="3"/>
    </row>
    <row r="60" customFormat="false" ht="15" hidden="false" customHeight="true" outlineLevel="0" collapsed="false">
      <c r="A60" s="81" t="s">
        <v>497</v>
      </c>
      <c r="B60" s="66" t="n">
        <f aca="false">B56+B57+B58+B59</f>
        <v>90841283.72</v>
      </c>
      <c r="C60" s="66" t="n">
        <f aca="false">C56+C57+C58+C59</f>
        <v>22270374.81</v>
      </c>
      <c r="D60" s="3" t="s">
        <v>498</v>
      </c>
    </row>
    <row r="61" customFormat="false" ht="15" hidden="false" customHeight="true" outlineLevel="0" collapsed="false">
      <c r="A61" s="79" t="s">
        <v>499</v>
      </c>
      <c r="B61" s="26" t="n">
        <v>-449167</v>
      </c>
      <c r="C61" s="26" t="n">
        <v>0</v>
      </c>
      <c r="D61" s="3" t="s">
        <v>500</v>
      </c>
    </row>
    <row r="62" customFormat="false" ht="15" hidden="false" customHeight="true" outlineLevel="0" collapsed="false">
      <c r="A62" s="79" t="s">
        <v>501</v>
      </c>
      <c r="B62" s="26" t="n">
        <v>-60000</v>
      </c>
      <c r="C62" s="26" t="n">
        <v>0</v>
      </c>
      <c r="D62" s="3"/>
    </row>
    <row r="63" customFormat="false" ht="15" hidden="false" customHeight="true" outlineLevel="0" collapsed="false">
      <c r="A63" s="79" t="s">
        <v>502</v>
      </c>
      <c r="B63" s="26" t="n">
        <v>4385301.45</v>
      </c>
      <c r="C63" s="26" t="n">
        <v>6228242.33</v>
      </c>
      <c r="D63" s="3" t="s">
        <v>503</v>
      </c>
    </row>
    <row r="64" customFormat="false" ht="15" hidden="false" customHeight="true" outlineLevel="0" collapsed="false">
      <c r="A64" s="79" t="s">
        <v>504</v>
      </c>
      <c r="B64" s="26" t="n">
        <v>3000</v>
      </c>
      <c r="C64" s="26" t="n">
        <v>8570.4</v>
      </c>
      <c r="D64" s="3" t="s">
        <v>505</v>
      </c>
    </row>
    <row r="65" customFormat="false" ht="15" hidden="false" customHeight="true" outlineLevel="0" collapsed="false">
      <c r="A65" s="79" t="s">
        <v>506</v>
      </c>
      <c r="B65" s="26" t="n">
        <v>0</v>
      </c>
      <c r="C65" s="26" t="n">
        <v>0</v>
      </c>
      <c r="D65" s="3"/>
    </row>
    <row r="66" customFormat="false" ht="15" hidden="false" customHeight="true" outlineLevel="0" collapsed="false">
      <c r="A66" s="81" t="s">
        <v>507</v>
      </c>
      <c r="B66" s="66" t="n">
        <f aca="false">B60+B61+B62+B63+B64+B65</f>
        <v>94720418.17</v>
      </c>
      <c r="C66" s="66" t="n">
        <f aca="false">C60+C61+C62+C63+C64+C65</f>
        <v>28507187.54</v>
      </c>
      <c r="D66" s="3"/>
    </row>
    <row r="67" customFormat="false" ht="15" hidden="false" customHeight="true" outlineLevel="0" collapsed="false">
      <c r="A67" s="7" t="s">
        <v>508</v>
      </c>
      <c r="B67" s="61" t="n">
        <f aca="false">PyG!C26</f>
        <v>94720418.5</v>
      </c>
      <c r="C67" s="61" t="n">
        <f aca="false">PyG!D26</f>
        <v>24749907.89</v>
      </c>
    </row>
    <row r="68" customFormat="false" ht="15" hidden="false" customHeight="true" outlineLevel="0" collapsed="false">
      <c r="A68" s="81" t="s">
        <v>509</v>
      </c>
      <c r="B68" s="66" t="n">
        <f aca="false">B66-B67</f>
        <v>-0.329999998211861</v>
      </c>
      <c r="C68" s="66" t="n">
        <f aca="false">C66-C67</f>
        <v>3757279.65</v>
      </c>
      <c r="D68" s="17" t="s">
        <v>510</v>
      </c>
    </row>
    <row r="70" customFormat="false" ht="15" hidden="false" customHeight="true" outlineLevel="0" collapsed="false">
      <c r="A70" s="5" t="s">
        <v>511</v>
      </c>
      <c r="B70" s="6"/>
      <c r="C70" s="6"/>
      <c r="D70" s="78"/>
      <c r="E70" s="6"/>
      <c r="F70" s="6"/>
    </row>
    <row r="71" customFormat="false" ht="15" hidden="false" customHeight="true" outlineLevel="0" collapsed="false">
      <c r="A71" s="12" t="s">
        <v>488</v>
      </c>
      <c r="B71" s="65" t="n">
        <f aca="false">B53/$B$3</f>
        <v>114.23575</v>
      </c>
      <c r="C71" s="65" t="n">
        <f aca="false">C53/$B$3</f>
        <v>24.0760137</v>
      </c>
    </row>
    <row r="72" customFormat="false" ht="15" hidden="false" customHeight="true" outlineLevel="0" collapsed="false">
      <c r="A72" s="12" t="s">
        <v>512</v>
      </c>
      <c r="B72" s="65" t="n">
        <f aca="false">B60/$B$3</f>
        <v>90.84128372</v>
      </c>
      <c r="C72" s="65" t="n">
        <f aca="false">C60/$B$3</f>
        <v>22.27037481</v>
      </c>
    </row>
    <row r="73" customFormat="false" ht="15" hidden="false" customHeight="true" outlineLevel="0" collapsed="false">
      <c r="A73" s="12" t="s">
        <v>513</v>
      </c>
      <c r="B73" s="65" t="n">
        <f aca="false">B63/$B$3</f>
        <v>4.38530145</v>
      </c>
      <c r="C73" s="65" t="n">
        <f aca="false">C63/$B$3</f>
        <v>6.22824233</v>
      </c>
    </row>
    <row r="74" customFormat="false" ht="15" hidden="false" customHeight="true" outlineLevel="0" collapsed="false">
      <c r="A74" s="12" t="s">
        <v>514</v>
      </c>
      <c r="B74" s="65" t="n">
        <f aca="false">B57/$B$3</f>
        <v>-4.017445</v>
      </c>
      <c r="C74" s="65" t="n">
        <f aca="false">C57/$B$3</f>
        <v>-1.504</v>
      </c>
    </row>
    <row r="75" customFormat="false" ht="15" hidden="false" customHeight="true" outlineLevel="0" collapsed="false">
      <c r="A75" s="3" t="s">
        <v>515</v>
      </c>
      <c r="B75" s="3" t="n">
        <v>112.11</v>
      </c>
      <c r="D75" s="3" t="s">
        <v>516</v>
      </c>
    </row>
    <row r="77" customFormat="false" ht="15" hidden="false" customHeight="true" outlineLevel="0" collapsed="false">
      <c r="A77" s="5" t="s">
        <v>517</v>
      </c>
      <c r="B77" s="6"/>
      <c r="C77" s="6"/>
      <c r="D77" s="78" t="s">
        <v>518</v>
      </c>
      <c r="E77" s="6"/>
      <c r="F77" s="6"/>
    </row>
    <row r="78" customFormat="false" ht="15" hidden="false" customHeight="true" outlineLevel="0" collapsed="false">
      <c r="A78" s="10" t="s">
        <v>2</v>
      </c>
      <c r="B78" s="10" t="s">
        <v>194</v>
      </c>
      <c r="C78" s="10" t="s">
        <v>195</v>
      </c>
      <c r="D78" s="10" t="s">
        <v>486</v>
      </c>
    </row>
    <row r="79" customFormat="false" ht="15" hidden="false" customHeight="true" outlineLevel="0" collapsed="false">
      <c r="A79" s="79" t="s">
        <v>519</v>
      </c>
      <c r="B79" s="26" t="n">
        <v>58120775.11</v>
      </c>
      <c r="C79" s="26"/>
      <c r="D79" s="3"/>
    </row>
    <row r="80" customFormat="false" ht="15" hidden="false" customHeight="true" outlineLevel="0" collapsed="false">
      <c r="A80" s="79" t="s">
        <v>520</v>
      </c>
      <c r="B80" s="26" t="n">
        <v>2000000</v>
      </c>
      <c r="C80" s="26"/>
      <c r="D80" s="3"/>
    </row>
    <row r="81" customFormat="false" ht="15" hidden="false" customHeight="true" outlineLevel="0" collapsed="false">
      <c r="A81" s="79" t="s">
        <v>521</v>
      </c>
      <c r="B81" s="54" t="n">
        <f aca="false">B79+B80</f>
        <v>60120775.11</v>
      </c>
      <c r="C81" s="54"/>
      <c r="D81" s="3"/>
    </row>
    <row r="82" customFormat="false" ht="15" hidden="false" customHeight="true" outlineLevel="0" collapsed="false">
      <c r="A82" s="7" t="s">
        <v>522</v>
      </c>
      <c r="B82" s="30" t="n">
        <f aca="false">B13-B81</f>
        <v>1160942.28</v>
      </c>
      <c r="D82" s="3" t="s">
        <v>523</v>
      </c>
    </row>
    <row r="83" customFormat="false" ht="15" hidden="false" customHeight="true" outlineLevel="0" collapsed="false">
      <c r="A83" s="79" t="s">
        <v>524</v>
      </c>
      <c r="B83" s="80" t="n">
        <v>35</v>
      </c>
      <c r="C83" s="80" t="n">
        <v>40</v>
      </c>
      <c r="D83" s="3"/>
    </row>
    <row r="84" customFormat="false" ht="15" hidden="false" customHeight="true" outlineLevel="0" collapsed="false">
      <c r="A84" s="79" t="s">
        <v>525</v>
      </c>
      <c r="B84" s="26" t="n">
        <v>145200517</v>
      </c>
      <c r="C84" s="26" t="n">
        <v>119144806.39</v>
      </c>
      <c r="D84" s="3"/>
    </row>
    <row r="85" customFormat="false" ht="15" hidden="false" customHeight="true" outlineLevel="0" collapsed="false">
      <c r="A85" s="79" t="s">
        <v>526</v>
      </c>
      <c r="B85" s="26" t="n">
        <v>66225032</v>
      </c>
      <c r="C85" s="26" t="n">
        <v>47480650.5</v>
      </c>
      <c r="D85" s="3"/>
    </row>
    <row r="86" customFormat="false" ht="15" hidden="false" customHeight="true" outlineLevel="0" collapsed="false">
      <c r="A86" s="79" t="s">
        <v>527</v>
      </c>
      <c r="B86" s="82" t="n">
        <f aca="false">B85/B84</f>
        <v>0.456093637738218</v>
      </c>
      <c r="C86" s="82" t="n">
        <f aca="false">C85/C84</f>
        <v>0.398512129388001</v>
      </c>
      <c r="D86" s="3" t="s">
        <v>528</v>
      </c>
    </row>
    <row r="87" customFormat="false" ht="15" hidden="false" customHeight="true" outlineLevel="0" collapsed="false">
      <c r="A87" s="79" t="s">
        <v>529</v>
      </c>
      <c r="B87" s="83" t="n">
        <v>2.18</v>
      </c>
      <c r="C87" s="26"/>
      <c r="D87" s="3"/>
    </row>
    <row r="89" customFormat="false" ht="30" hidden="false" customHeight="true" outlineLevel="0" collapsed="false">
      <c r="A89" s="32" t="s">
        <v>530</v>
      </c>
      <c r="B89" s="32"/>
      <c r="C89" s="32"/>
      <c r="D89" s="32"/>
      <c r="E89" s="32"/>
      <c r="F89" s="32"/>
    </row>
    <row r="90" customFormat="false" ht="30" hidden="false" customHeight="true" outlineLevel="0" collapsed="false">
      <c r="A90" s="31" t="s">
        <v>531</v>
      </c>
      <c r="B90" s="31"/>
      <c r="C90" s="31"/>
      <c r="D90" s="31"/>
      <c r="E90" s="31"/>
      <c r="F90" s="31"/>
    </row>
    <row r="91" customFormat="false" ht="30" hidden="false" customHeight="true" outlineLevel="0" collapsed="false">
      <c r="A91" s="32" t="s">
        <v>532</v>
      </c>
      <c r="B91" s="32"/>
      <c r="C91" s="32"/>
      <c r="D91" s="32"/>
      <c r="E91" s="32"/>
      <c r="F91" s="32"/>
    </row>
    <row r="92" customFormat="false" ht="30" hidden="false" customHeight="true" outlineLevel="0" collapsed="false">
      <c r="A92" s="32" t="s">
        <v>533</v>
      </c>
      <c r="B92" s="32"/>
      <c r="C92" s="32"/>
      <c r="D92" s="32"/>
      <c r="E92" s="32"/>
      <c r="F92" s="32"/>
    </row>
    <row r="93" customFormat="false" ht="30" hidden="false" customHeight="true" outlineLevel="0" collapsed="false">
      <c r="A93" s="32" t="s">
        <v>534</v>
      </c>
      <c r="B93" s="32"/>
      <c r="C93" s="32"/>
      <c r="D93" s="32"/>
      <c r="E93" s="32"/>
      <c r="F93" s="32"/>
    </row>
    <row r="95" customFormat="false" ht="15" hidden="false" customHeight="true" outlineLevel="0" collapsed="false">
      <c r="A95" s="5" t="s">
        <v>535</v>
      </c>
      <c r="B95" s="6"/>
      <c r="C95" s="6"/>
      <c r="D95" s="78" t="s">
        <v>536</v>
      </c>
      <c r="E95" s="6"/>
      <c r="F95" s="6"/>
    </row>
    <row r="96" customFormat="false" ht="30" hidden="false" customHeight="true" outlineLevel="0" collapsed="false">
      <c r="A96" s="32" t="s">
        <v>537</v>
      </c>
      <c r="B96" s="32"/>
      <c r="C96" s="32"/>
      <c r="D96" s="32"/>
      <c r="E96" s="32"/>
      <c r="F96" s="32"/>
    </row>
    <row r="97" customFormat="false" ht="30" hidden="false" customHeight="true" outlineLevel="0" collapsed="false">
      <c r="A97" s="32" t="s">
        <v>538</v>
      </c>
      <c r="B97" s="32"/>
      <c r="C97" s="32"/>
      <c r="D97" s="32"/>
      <c r="E97" s="32"/>
      <c r="F97" s="32"/>
    </row>
    <row r="98" customFormat="false" ht="30" hidden="false" customHeight="true" outlineLevel="0" collapsed="false">
      <c r="A98" s="32" t="s">
        <v>539</v>
      </c>
      <c r="B98" s="32"/>
      <c r="C98" s="32"/>
      <c r="D98" s="32"/>
      <c r="E98" s="32"/>
      <c r="F98" s="32"/>
    </row>
    <row r="99" customFormat="false" ht="30" hidden="false" customHeight="true" outlineLevel="0" collapsed="false">
      <c r="A99" s="32" t="s">
        <v>540</v>
      </c>
      <c r="B99" s="32"/>
      <c r="C99" s="32"/>
      <c r="D99" s="32"/>
      <c r="E99" s="32"/>
      <c r="F99" s="32"/>
    </row>
    <row r="100" customFormat="false" ht="30" hidden="false" customHeight="true" outlineLevel="0" collapsed="false">
      <c r="A100" s="32" t="s">
        <v>541</v>
      </c>
      <c r="B100" s="32"/>
      <c r="C100" s="32"/>
      <c r="D100" s="32"/>
      <c r="E100" s="32"/>
      <c r="F100" s="32"/>
    </row>
  </sheetData>
  <mergeCells count="10">
    <mergeCell ref="A89:F89"/>
    <mergeCell ref="A90:F90"/>
    <mergeCell ref="A91:F91"/>
    <mergeCell ref="A92:F92"/>
    <mergeCell ref="A93:F93"/>
    <mergeCell ref="A96:F96"/>
    <mergeCell ref="A97:F97"/>
    <mergeCell ref="A98:F98"/>
    <mergeCell ref="A99:F99"/>
    <mergeCell ref="A100:F10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2"/>
    <col collapsed="false" customWidth="true" hidden="false" outlineLevel="0" max="7" min="2" style="1" width="17"/>
  </cols>
  <sheetData>
    <row r="1" customFormat="false" ht="17.25" hidden="false" customHeight="true" outlineLevel="0" collapsed="false">
      <c r="A1" s="2" t="s">
        <v>542</v>
      </c>
    </row>
    <row r="2" customFormat="false" ht="15" hidden="false" customHeight="true" outlineLevel="0" collapsed="false">
      <c r="A2" s="3" t="s">
        <v>543</v>
      </c>
    </row>
    <row r="3" customFormat="false" ht="15" hidden="false" customHeight="true" outlineLevel="0" collapsed="false">
      <c r="A3" s="10" t="s">
        <v>329</v>
      </c>
      <c r="B3" s="57" t="n">
        <f aca="false">Balance!$B$3</f>
        <v>1000000</v>
      </c>
    </row>
    <row r="5" customFormat="false" ht="15" hidden="false" customHeight="true" outlineLevel="0" collapsed="false">
      <c r="A5" s="5" t="s">
        <v>544</v>
      </c>
      <c r="B5" s="6"/>
      <c r="C5" s="6"/>
      <c r="D5" s="6"/>
      <c r="E5" s="6"/>
      <c r="F5" s="6"/>
      <c r="G5" s="6"/>
    </row>
    <row r="6" customFormat="false" ht="15" hidden="false" customHeight="true" outlineLevel="0" collapsed="false">
      <c r="A6" s="58" t="s">
        <v>2</v>
      </c>
      <c r="B6" s="59" t="s">
        <v>545</v>
      </c>
      <c r="C6" s="59" t="s">
        <v>546</v>
      </c>
      <c r="D6" s="59" t="s">
        <v>547</v>
      </c>
      <c r="E6" s="59" t="s">
        <v>548</v>
      </c>
    </row>
    <row r="7" customFormat="false" ht="15" hidden="false" customHeight="true" outlineLevel="0" collapsed="false">
      <c r="A7" s="7" t="s">
        <v>549</v>
      </c>
      <c r="B7" s="26" t="n">
        <v>0</v>
      </c>
      <c r="C7" s="26" t="n">
        <v>920284.2</v>
      </c>
      <c r="D7" s="26" t="n">
        <v>0</v>
      </c>
      <c r="E7" s="26" t="n">
        <v>931375.12</v>
      </c>
    </row>
    <row r="8" customFormat="false" ht="15" hidden="false" customHeight="true" outlineLevel="0" collapsed="false">
      <c r="A8" s="7" t="s">
        <v>550</v>
      </c>
      <c r="B8" s="26" t="n">
        <v>424620.15</v>
      </c>
      <c r="C8" s="26" t="n">
        <v>0</v>
      </c>
      <c r="D8" s="26" t="n">
        <v>195791</v>
      </c>
      <c r="E8" s="26" t="n">
        <v>0</v>
      </c>
    </row>
    <row r="9" customFormat="false" ht="15" hidden="false" customHeight="true" outlineLevel="0" collapsed="false">
      <c r="A9" s="7" t="s">
        <v>551</v>
      </c>
      <c r="B9" s="26" t="n">
        <v>8671.16</v>
      </c>
      <c r="C9" s="26" t="n">
        <v>0</v>
      </c>
      <c r="D9" s="26" t="n">
        <v>66540</v>
      </c>
      <c r="E9" s="26" t="n">
        <v>0</v>
      </c>
    </row>
    <row r="10" customFormat="false" ht="15" hidden="false" customHeight="true" outlineLevel="0" collapsed="false">
      <c r="A10" s="7" t="s">
        <v>552</v>
      </c>
      <c r="B10" s="26" t="n">
        <v>136457014.31</v>
      </c>
      <c r="C10" s="26" t="n">
        <v>0</v>
      </c>
      <c r="D10" s="26" t="n">
        <v>83229622</v>
      </c>
      <c r="E10" s="26" t="n">
        <v>0</v>
      </c>
    </row>
    <row r="11" customFormat="false" ht="15" hidden="false" customHeight="true" outlineLevel="0" collapsed="false">
      <c r="A11" s="7" t="s">
        <v>553</v>
      </c>
      <c r="B11" s="26" t="n">
        <v>190020.03</v>
      </c>
      <c r="C11" s="26" t="n">
        <v>0</v>
      </c>
      <c r="D11" s="26" t="n">
        <v>74735</v>
      </c>
      <c r="E11" s="26" t="n">
        <v>0</v>
      </c>
    </row>
    <row r="12" customFormat="false" ht="15" hidden="false" customHeight="true" outlineLevel="0" collapsed="false">
      <c r="A12" s="7" t="s">
        <v>554</v>
      </c>
      <c r="B12" s="26" t="n">
        <v>132169.28</v>
      </c>
      <c r="C12" s="26" t="n">
        <v>0</v>
      </c>
      <c r="D12" s="26" t="n">
        <v>133538</v>
      </c>
      <c r="E12" s="26" t="n">
        <v>0</v>
      </c>
    </row>
    <row r="13" customFormat="false" ht="15" hidden="false" customHeight="true" outlineLevel="0" collapsed="false">
      <c r="A13" s="7" t="s">
        <v>555</v>
      </c>
      <c r="B13" s="26" t="n">
        <v>0</v>
      </c>
      <c r="C13" s="26" t="n">
        <v>768256.07</v>
      </c>
      <c r="D13" s="26" t="n">
        <v>0</v>
      </c>
      <c r="E13" s="26" t="n">
        <v>761585.09</v>
      </c>
    </row>
    <row r="14" customFormat="false" ht="15" hidden="false" customHeight="true" outlineLevel="0" collapsed="false">
      <c r="A14" s="10" t="s">
        <v>421</v>
      </c>
      <c r="B14" s="66" t="n">
        <f aca="false">B7+B8+B9+B10+B11+B12+B13</f>
        <v>137212494.93</v>
      </c>
      <c r="C14" s="66" t="n">
        <f aca="false">C7+C8+C9+C10+C11+C12+C13</f>
        <v>1688540.27</v>
      </c>
      <c r="D14" s="66" t="n">
        <f aca="false">D7+D8+D9+D10+D11+D12+D13</f>
        <v>83700226</v>
      </c>
      <c r="E14" s="66" t="n">
        <f aca="false">E7+E8+E9+E10+E11+E12+E13</f>
        <v>1692960.21</v>
      </c>
    </row>
    <row r="15" customFormat="false" ht="15" hidden="false" customHeight="true" outlineLevel="0" collapsed="false">
      <c r="A15" s="12" t="s">
        <v>556</v>
      </c>
      <c r="B15" s="30" t="n">
        <f aca="false">ROUND(B14-Balance!C20,2)</f>
        <v>0</v>
      </c>
      <c r="D15" s="30" t="n">
        <f aca="false">ROUND(D14-Balance!D20,0)</f>
        <v>-0</v>
      </c>
    </row>
    <row r="16" customFormat="false" ht="15" hidden="false" customHeight="true" outlineLevel="0" collapsed="false">
      <c r="A16" s="17" t="s">
        <v>557</v>
      </c>
    </row>
    <row r="17" customFormat="false" ht="15" hidden="false" customHeight="true" outlineLevel="0" collapsed="false">
      <c r="A17" s="12" t="s">
        <v>558</v>
      </c>
    </row>
    <row r="19" customFormat="false" ht="15" hidden="false" customHeight="true" outlineLevel="0" collapsed="false">
      <c r="A19" s="5" t="s">
        <v>559</v>
      </c>
      <c r="B19" s="6"/>
      <c r="C19" s="6"/>
      <c r="D19" s="6"/>
      <c r="E19" s="6"/>
      <c r="F19" s="6"/>
      <c r="G19" s="6"/>
    </row>
    <row r="20" customFormat="false" ht="15" hidden="false" customHeight="true" outlineLevel="0" collapsed="false">
      <c r="A20" s="58" t="s">
        <v>2</v>
      </c>
      <c r="B20" s="59" t="s">
        <v>545</v>
      </c>
      <c r="C20" s="59" t="s">
        <v>546</v>
      </c>
      <c r="D20" s="59" t="s">
        <v>547</v>
      </c>
      <c r="E20" s="59" t="s">
        <v>548</v>
      </c>
    </row>
    <row r="21" customFormat="false" ht="15" hidden="false" customHeight="true" outlineLevel="0" collapsed="false">
      <c r="A21" s="7" t="s">
        <v>560</v>
      </c>
      <c r="B21" s="26" t="n">
        <v>0</v>
      </c>
      <c r="C21" s="26" t="n">
        <v>0</v>
      </c>
      <c r="D21" s="26" t="n">
        <v>0</v>
      </c>
      <c r="E21" s="26" t="n">
        <v>0</v>
      </c>
    </row>
    <row r="22" customFormat="false" ht="15" hidden="false" customHeight="true" outlineLevel="0" collapsed="false">
      <c r="A22" s="7" t="s">
        <v>561</v>
      </c>
      <c r="B22" s="26" t="n">
        <v>0</v>
      </c>
      <c r="C22" s="26" t="n">
        <v>682992</v>
      </c>
      <c r="D22" s="26" t="n">
        <v>0</v>
      </c>
      <c r="E22" s="26" t="n">
        <v>682992</v>
      </c>
    </row>
    <row r="23" customFormat="false" ht="15" hidden="false" customHeight="true" outlineLevel="0" collapsed="false">
      <c r="A23" s="7" t="s">
        <v>562</v>
      </c>
      <c r="B23" s="26" t="n">
        <v>2837770.9</v>
      </c>
      <c r="C23" s="26" t="n">
        <v>105780536.96</v>
      </c>
      <c r="D23" s="26" t="n">
        <v>3754920.04</v>
      </c>
      <c r="E23" s="26" t="n">
        <v>107806151.68</v>
      </c>
    </row>
    <row r="24" customFormat="false" ht="15" hidden="false" customHeight="true" outlineLevel="0" collapsed="false">
      <c r="A24" s="7" t="s">
        <v>563</v>
      </c>
      <c r="B24" s="26" t="n">
        <v>0</v>
      </c>
      <c r="C24" s="26" t="n">
        <v>0</v>
      </c>
      <c r="D24" s="26" t="n">
        <v>0</v>
      </c>
      <c r="E24" s="26" t="n">
        <v>0</v>
      </c>
    </row>
    <row r="25" customFormat="false" ht="15" hidden="false" customHeight="true" outlineLevel="0" collapsed="false">
      <c r="A25" s="7" t="s">
        <v>564</v>
      </c>
      <c r="B25" s="26" t="n">
        <v>38722906.19</v>
      </c>
      <c r="C25" s="26" t="n">
        <v>24215908.49</v>
      </c>
      <c r="D25" s="26" t="n">
        <v>37859775.67</v>
      </c>
      <c r="E25" s="26" t="n">
        <v>9532405.78</v>
      </c>
    </row>
    <row r="26" customFormat="false" ht="15" hidden="false" customHeight="true" outlineLevel="0" collapsed="false">
      <c r="A26" s="7" t="s">
        <v>565</v>
      </c>
      <c r="B26" s="26" t="n">
        <v>46013255.5</v>
      </c>
      <c r="C26" s="26" t="n">
        <v>1016666.67</v>
      </c>
      <c r="D26" s="26" t="n">
        <v>47435014.31</v>
      </c>
      <c r="E26" s="26" t="n">
        <v>1016666.67</v>
      </c>
    </row>
    <row r="27" customFormat="false" ht="15" hidden="false" customHeight="true" outlineLevel="0" collapsed="false">
      <c r="A27" s="7" t="s">
        <v>566</v>
      </c>
      <c r="B27" s="26" t="n">
        <v>14490108.4</v>
      </c>
      <c r="C27" s="26" t="n">
        <v>5890950.16</v>
      </c>
      <c r="D27" s="26" t="n">
        <v>5164303.97</v>
      </c>
      <c r="E27" s="26" t="n">
        <v>615646.04</v>
      </c>
    </row>
    <row r="28" customFormat="false" ht="15" hidden="false" customHeight="true" outlineLevel="0" collapsed="false">
      <c r="A28" s="7" t="s">
        <v>567</v>
      </c>
      <c r="B28" s="26" t="n">
        <v>2124161.4</v>
      </c>
      <c r="C28" s="26" t="n">
        <v>0</v>
      </c>
      <c r="D28" s="26" t="n">
        <v>174326.09</v>
      </c>
      <c r="E28" s="26" t="n">
        <v>0</v>
      </c>
    </row>
    <row r="29" customFormat="false" ht="15" hidden="false" customHeight="true" outlineLevel="0" collapsed="false">
      <c r="A29" s="10" t="s">
        <v>421</v>
      </c>
      <c r="B29" s="66" t="n">
        <f aca="false">B21+B22+B23+B24+B25+B26+B27+B28</f>
        <v>104188202.39</v>
      </c>
      <c r="C29" s="66" t="n">
        <f aca="false">C21+C22+C23+C24+C25+C26+C27+C28</f>
        <v>137587054.28</v>
      </c>
      <c r="D29" s="66" t="n">
        <f aca="false">D21+D22+D23+D24+D25+D26+D27+D28</f>
        <v>94388340.08</v>
      </c>
      <c r="E29" s="66" t="n">
        <f aca="false">E21+E22+E23+E24+E25+E26+E27+E28</f>
        <v>119653862.17</v>
      </c>
    </row>
    <row r="30" customFormat="false" ht="15" hidden="false" customHeight="true" outlineLevel="0" collapsed="false">
      <c r="A30" s="12" t="s">
        <v>568</v>
      </c>
      <c r="B30" s="30" t="n">
        <f aca="false">ROUND(B29-Balance!C49,2)</f>
        <v>0</v>
      </c>
      <c r="C30" s="30" t="n">
        <f aca="false">ROUND(C29-Balance!C41,2)</f>
        <v>0</v>
      </c>
      <c r="D30" s="30" t="n">
        <f aca="false">ROUND(D29-Balance!D49,2)</f>
        <v>0</v>
      </c>
      <c r="E30" s="30" t="n">
        <f aca="false">ROUND(E29-Balance!D41,2)</f>
        <v>0</v>
      </c>
    </row>
    <row r="31" customFormat="false" ht="15" hidden="false" customHeight="true" outlineLevel="0" collapsed="false">
      <c r="A31" s="12" t="s">
        <v>569</v>
      </c>
      <c r="C31" s="30" t="n">
        <f aca="false">ROUND(C23+C25+C26-Balance!C39,2)</f>
        <v>0</v>
      </c>
      <c r="E31" s="30" t="n">
        <f aca="false">ROUND(E23+E25+E26-Balance!D39,2)</f>
        <v>0</v>
      </c>
    </row>
    <row r="32" customFormat="false" ht="15" hidden="false" customHeight="true" outlineLevel="0" collapsed="false">
      <c r="A32" s="10" t="s">
        <v>83</v>
      </c>
      <c r="B32" s="10" t="str">
        <f aca="false">IF(AND(B30=0,C30=0,D30=0,E30=0,C31=0,E31=0),"OK","REVISAR")</f>
        <v>OK</v>
      </c>
    </row>
    <row r="33" customFormat="false" ht="15" hidden="false" customHeight="true" outlineLevel="0" collapsed="false">
      <c r="A33" s="10" t="s">
        <v>570</v>
      </c>
    </row>
    <row r="35" customFormat="false" ht="15" hidden="false" customHeight="true" outlineLevel="0" collapsed="false">
      <c r="A35" s="5" t="s">
        <v>571</v>
      </c>
      <c r="B35" s="6"/>
      <c r="C35" s="6"/>
      <c r="D35" s="6"/>
      <c r="E35" s="6"/>
      <c r="F35" s="6"/>
      <c r="G35" s="6"/>
    </row>
    <row r="36" customFormat="false" ht="23.25" hidden="false" customHeight="true" outlineLevel="0" collapsed="false">
      <c r="A36" s="58" t="s">
        <v>572</v>
      </c>
      <c r="B36" s="59" t="s">
        <v>564</v>
      </c>
      <c r="C36" s="59" t="s">
        <v>573</v>
      </c>
      <c r="D36" s="59" t="s">
        <v>574</v>
      </c>
      <c r="E36" s="59" t="s">
        <v>575</v>
      </c>
      <c r="F36" s="59" t="s">
        <v>576</v>
      </c>
      <c r="G36" s="59" t="s">
        <v>577</v>
      </c>
    </row>
    <row r="37" customFormat="false" ht="15" hidden="false" customHeight="true" outlineLevel="0" collapsed="false">
      <c r="A37" s="7" t="s">
        <v>578</v>
      </c>
      <c r="B37" s="26" t="n">
        <v>18530932.17</v>
      </c>
      <c r="C37" s="26" t="n">
        <v>1016666.67</v>
      </c>
      <c r="D37" s="26" t="n">
        <v>0</v>
      </c>
      <c r="E37" s="26" t="n">
        <v>2710990.33</v>
      </c>
      <c r="F37" s="26" t="n">
        <v>0</v>
      </c>
      <c r="G37" s="26" t="n">
        <v>0</v>
      </c>
    </row>
    <row r="38" customFormat="false" ht="15" hidden="false" customHeight="true" outlineLevel="0" collapsed="false">
      <c r="A38" s="7" t="s">
        <v>579</v>
      </c>
      <c r="B38" s="26" t="n">
        <v>5684976.32</v>
      </c>
      <c r="C38" s="26" t="n">
        <v>0</v>
      </c>
      <c r="D38" s="26" t="n">
        <v>0</v>
      </c>
      <c r="E38" s="26" t="n">
        <v>2710990.33</v>
      </c>
      <c r="F38" s="26" t="n">
        <v>0</v>
      </c>
      <c r="G38" s="26" t="n">
        <v>0</v>
      </c>
    </row>
    <row r="39" customFormat="false" ht="15" hidden="false" customHeight="true" outlineLevel="0" collapsed="false">
      <c r="A39" s="7" t="s">
        <v>580</v>
      </c>
      <c r="B39" s="26" t="n">
        <v>0</v>
      </c>
      <c r="C39" s="26" t="n">
        <v>0</v>
      </c>
      <c r="D39" s="26" t="n">
        <v>0</v>
      </c>
      <c r="E39" s="26" t="n">
        <v>2710990.33</v>
      </c>
      <c r="F39" s="26" t="n">
        <v>0</v>
      </c>
      <c r="G39" s="26" t="n">
        <v>0</v>
      </c>
    </row>
    <row r="40" customFormat="false" ht="15" hidden="false" customHeight="true" outlineLevel="0" collapsed="false">
      <c r="A40" s="7" t="s">
        <v>581</v>
      </c>
      <c r="B40" s="26" t="n">
        <v>0</v>
      </c>
      <c r="C40" s="26" t="n">
        <v>0</v>
      </c>
      <c r="D40" s="26" t="n">
        <v>0</v>
      </c>
      <c r="E40" s="26" t="n">
        <v>2710990.33</v>
      </c>
      <c r="F40" s="26" t="n">
        <v>0</v>
      </c>
      <c r="G40" s="26" t="n">
        <v>0</v>
      </c>
    </row>
    <row r="41" customFormat="false" ht="15" hidden="false" customHeight="true" outlineLevel="0" collapsed="false">
      <c r="A41" s="7" t="s">
        <v>582</v>
      </c>
      <c r="B41" s="26" t="n">
        <v>0</v>
      </c>
      <c r="C41" s="26" t="n">
        <v>0</v>
      </c>
      <c r="D41" s="26" t="n">
        <v>0</v>
      </c>
      <c r="E41" s="26" t="n">
        <v>94936575.61</v>
      </c>
      <c r="F41" s="26" t="n">
        <v>682992</v>
      </c>
      <c r="G41" s="26" t="n">
        <v>5890950.16</v>
      </c>
    </row>
    <row r="42" customFormat="false" ht="15" hidden="false" customHeight="true" outlineLevel="0" collapsed="false">
      <c r="A42" s="10" t="s">
        <v>443</v>
      </c>
      <c r="B42" s="66" t="n">
        <f aca="false">B37+B38+B39+B40+B41</f>
        <v>24215908.49</v>
      </c>
      <c r="C42" s="66" t="n">
        <f aca="false">C37+C38+C39+C40+C41</f>
        <v>1016666.67</v>
      </c>
      <c r="D42" s="66" t="n">
        <f aca="false">D37+D38+D39+D40+D41</f>
        <v>0</v>
      </c>
      <c r="E42" s="66" t="n">
        <f aca="false">E37+E38+E39+E40+E41</f>
        <v>105780536.93</v>
      </c>
      <c r="F42" s="66" t="n">
        <f aca="false">F37+F38+F39+F40+F41</f>
        <v>682992</v>
      </c>
      <c r="G42" s="66" t="n">
        <f aca="false">G37+G38+G39+G40+G41</f>
        <v>5890950.16</v>
      </c>
    </row>
    <row r="44" customFormat="false" ht="23.25" hidden="false" customHeight="true" outlineLevel="0" collapsed="false">
      <c r="A44" s="58" t="s">
        <v>583</v>
      </c>
      <c r="B44" s="59" t="s">
        <v>564</v>
      </c>
      <c r="C44" s="59" t="s">
        <v>573</v>
      </c>
      <c r="D44" s="59" t="s">
        <v>574</v>
      </c>
      <c r="E44" s="59" t="s">
        <v>575</v>
      </c>
      <c r="F44" s="59" t="s">
        <v>576</v>
      </c>
      <c r="G44" s="59" t="s">
        <v>577</v>
      </c>
    </row>
    <row r="45" customFormat="false" ht="15" hidden="false" customHeight="true" outlineLevel="0" collapsed="false">
      <c r="A45" s="7" t="s">
        <v>578</v>
      </c>
      <c r="B45" s="26" t="n">
        <v>8372892.95</v>
      </c>
      <c r="C45" s="26" t="n">
        <v>875000</v>
      </c>
      <c r="D45" s="26" t="n">
        <v>0</v>
      </c>
      <c r="E45" s="26" t="n">
        <v>2710990.33</v>
      </c>
      <c r="F45" s="26" t="n">
        <v>0</v>
      </c>
      <c r="G45" s="26" t="n">
        <v>0</v>
      </c>
    </row>
    <row r="46" customFormat="false" ht="15" hidden="false" customHeight="true" outlineLevel="0" collapsed="false">
      <c r="A46" s="7" t="s">
        <v>579</v>
      </c>
      <c r="B46" s="26" t="n">
        <v>1301179.49</v>
      </c>
      <c r="C46" s="26" t="n">
        <v>0</v>
      </c>
      <c r="D46" s="26" t="n">
        <v>0</v>
      </c>
      <c r="E46" s="26" t="n">
        <v>2710990.33</v>
      </c>
      <c r="F46" s="26" t="n">
        <v>0</v>
      </c>
      <c r="G46" s="26" t="n">
        <v>0</v>
      </c>
    </row>
    <row r="47" customFormat="false" ht="15" hidden="false" customHeight="true" outlineLevel="0" collapsed="false">
      <c r="A47" s="7" t="s">
        <v>580</v>
      </c>
      <c r="B47" s="26" t="n">
        <v>0</v>
      </c>
      <c r="C47" s="26" t="n">
        <v>0</v>
      </c>
      <c r="D47" s="26" t="n">
        <v>0</v>
      </c>
      <c r="E47" s="26" t="n">
        <v>2710990.33</v>
      </c>
      <c r="F47" s="26" t="n">
        <v>0</v>
      </c>
      <c r="G47" s="26" t="n">
        <v>0</v>
      </c>
    </row>
    <row r="48" customFormat="false" ht="15" hidden="false" customHeight="true" outlineLevel="0" collapsed="false">
      <c r="A48" s="7" t="s">
        <v>581</v>
      </c>
      <c r="B48" s="26" t="n">
        <v>0</v>
      </c>
      <c r="C48" s="26" t="n">
        <v>0</v>
      </c>
      <c r="D48" s="26" t="n">
        <v>0</v>
      </c>
      <c r="E48" s="26" t="n">
        <v>2710990.33</v>
      </c>
      <c r="F48" s="26" t="n">
        <v>0</v>
      </c>
      <c r="G48" s="26" t="n">
        <v>0</v>
      </c>
    </row>
    <row r="49" customFormat="false" ht="15" hidden="false" customHeight="true" outlineLevel="0" collapsed="false">
      <c r="A49" s="7" t="s">
        <v>582</v>
      </c>
      <c r="B49" s="26" t="n">
        <v>0</v>
      </c>
      <c r="C49" s="26" t="n">
        <v>0</v>
      </c>
      <c r="D49" s="26" t="n">
        <v>0</v>
      </c>
      <c r="E49" s="26" t="n">
        <v>96962190.36</v>
      </c>
      <c r="F49" s="26" t="n">
        <v>682992</v>
      </c>
      <c r="G49" s="26" t="n">
        <v>615646.04</v>
      </c>
    </row>
    <row r="50" customFormat="false" ht="15" hidden="false" customHeight="true" outlineLevel="0" collapsed="false">
      <c r="A50" s="10" t="s">
        <v>443</v>
      </c>
      <c r="B50" s="66" t="n">
        <f aca="false">B45+B46+B47+B48+B49</f>
        <v>9674072.44</v>
      </c>
      <c r="C50" s="66" t="n">
        <f aca="false">C45+C46+C47+C48+C49</f>
        <v>875000</v>
      </c>
      <c r="D50" s="66" t="n">
        <f aca="false">D45+D46+D47+D48+D49</f>
        <v>0</v>
      </c>
      <c r="E50" s="66" t="n">
        <f aca="false">E45+E46+E47+E48+E49</f>
        <v>107806151.68</v>
      </c>
      <c r="F50" s="66" t="n">
        <f aca="false">F45+F46+F47+F48+F49</f>
        <v>682992</v>
      </c>
      <c r="G50" s="66" t="n">
        <f aca="false">G45+G46+G47+G48+G49</f>
        <v>615646.04</v>
      </c>
    </row>
    <row r="51" customFormat="false" ht="15" hidden="false" customHeight="true" outlineLevel="0" collapsed="false">
      <c r="A51" s="17" t="s">
        <v>584</v>
      </c>
    </row>
    <row r="52" customFormat="false" ht="15" hidden="false" customHeight="true" outlineLevel="0" collapsed="false">
      <c r="A52" s="12" t="s">
        <v>585</v>
      </c>
    </row>
    <row r="54" customFormat="false" ht="15" hidden="false" customHeight="true" outlineLevel="0" collapsed="false">
      <c r="A54" s="5" t="s">
        <v>586</v>
      </c>
      <c r="B54" s="6"/>
      <c r="C54" s="6"/>
      <c r="D54" s="6"/>
      <c r="E54" s="6"/>
      <c r="F54" s="6"/>
      <c r="G54" s="6"/>
    </row>
    <row r="55" customFormat="false" ht="15" hidden="false" customHeight="true" outlineLevel="0" collapsed="false">
      <c r="A55" s="12" t="s">
        <v>587</v>
      </c>
      <c r="B55" s="30" t="n">
        <f aca="false">(B23+C23)-(D23+E23)</f>
        <v>-2942763.86000001</v>
      </c>
      <c r="C55" s="84" t="n">
        <f aca="false">B55/$B$3</f>
        <v>-2.94276386000001</v>
      </c>
    </row>
    <row r="56" customFormat="false" ht="15" hidden="false" customHeight="true" outlineLevel="0" collapsed="false">
      <c r="A56" s="12" t="s">
        <v>588</v>
      </c>
      <c r="B56" s="30" t="n">
        <f aca="false">C25-E25</f>
        <v>14683502.71</v>
      </c>
      <c r="C56" s="84" t="n">
        <f aca="false">B56/$B$3</f>
        <v>14.68350271</v>
      </c>
    </row>
    <row r="57" customFormat="false" ht="15" hidden="false" customHeight="true" outlineLevel="0" collapsed="false">
      <c r="A57" s="12" t="s">
        <v>589</v>
      </c>
      <c r="B57" s="30" t="n">
        <f aca="false">C26-E26</f>
        <v>0</v>
      </c>
      <c r="C57" s="84" t="n">
        <f aca="false">B57/$B$3</f>
        <v>0</v>
      </c>
    </row>
    <row r="58" customFormat="false" ht="15" hidden="false" customHeight="true" outlineLevel="0" collapsed="false">
      <c r="A58" s="10" t="s">
        <v>590</v>
      </c>
      <c r="B58" s="27" t="n">
        <f aca="false">SUM(B55:B57)</f>
        <v>11740738.85</v>
      </c>
    </row>
    <row r="59" customFormat="false" ht="15" hidden="false" customHeight="true" outlineLevel="0" collapsed="false">
      <c r="A59" s="12" t="s">
        <v>591</v>
      </c>
      <c r="B59" s="61" t="n">
        <f aca="false">Flujos!B42</f>
        <v>11740738.85</v>
      </c>
    </row>
    <row r="60" customFormat="false" ht="15" hidden="false" customHeight="true" outlineLevel="0" collapsed="false">
      <c r="A60" s="10" t="s">
        <v>592</v>
      </c>
      <c r="B60" s="27" t="n">
        <f aca="false">ROUND(B58-B59,2)</f>
        <v>0</v>
      </c>
    </row>
    <row r="61" customFormat="false" ht="15" hidden="false" customHeight="true" outlineLevel="0" collapsed="false">
      <c r="A61" s="17" t="s">
        <v>593</v>
      </c>
    </row>
    <row r="63" customFormat="false" ht="15" hidden="false" customHeight="true" outlineLevel="0" collapsed="false">
      <c r="A63" s="5" t="s">
        <v>594</v>
      </c>
      <c r="B63" s="6"/>
      <c r="C63" s="6"/>
      <c r="D63" s="6"/>
      <c r="E63" s="6"/>
      <c r="F63" s="6"/>
      <c r="G63" s="6"/>
    </row>
    <row r="64" customFormat="false" ht="27.75" hidden="false" customHeight="true" outlineLevel="0" collapsed="false">
      <c r="A64" s="32" t="s">
        <v>595</v>
      </c>
      <c r="B64" s="32"/>
      <c r="C64" s="32"/>
      <c r="D64" s="32"/>
      <c r="E64" s="32"/>
      <c r="F64" s="32"/>
      <c r="G64" s="32"/>
    </row>
    <row r="65" customFormat="false" ht="27.75" hidden="false" customHeight="true" outlineLevel="0" collapsed="false">
      <c r="A65" s="32" t="s">
        <v>596</v>
      </c>
      <c r="B65" s="32"/>
      <c r="C65" s="32"/>
      <c r="D65" s="32"/>
      <c r="E65" s="32"/>
      <c r="F65" s="32"/>
      <c r="G65" s="32"/>
    </row>
    <row r="66" customFormat="false" ht="27.75" hidden="false" customHeight="true" outlineLevel="0" collapsed="false">
      <c r="A66" s="32" t="s">
        <v>597</v>
      </c>
      <c r="B66" s="32"/>
      <c r="C66" s="32"/>
      <c r="D66" s="32"/>
      <c r="E66" s="32"/>
      <c r="F66" s="32"/>
      <c r="G66" s="32"/>
    </row>
    <row r="67" customFormat="false" ht="27.75" hidden="false" customHeight="true" outlineLevel="0" collapsed="false">
      <c r="A67" s="32" t="s">
        <v>598</v>
      </c>
      <c r="B67" s="32"/>
      <c r="C67" s="32"/>
      <c r="D67" s="32"/>
      <c r="E67" s="32"/>
      <c r="F67" s="32"/>
      <c r="G67" s="32"/>
    </row>
    <row r="68" customFormat="false" ht="27.75" hidden="false" customHeight="true" outlineLevel="0" collapsed="false">
      <c r="A68" s="32" t="s">
        <v>599</v>
      </c>
      <c r="B68" s="32"/>
      <c r="C68" s="32"/>
      <c r="D68" s="32"/>
      <c r="E68" s="32"/>
      <c r="F68" s="32"/>
      <c r="G68" s="32"/>
    </row>
    <row r="69" customFormat="false" ht="27.75" hidden="false" customHeight="true" outlineLevel="0" collapsed="false">
      <c r="A69" s="32" t="s">
        <v>600</v>
      </c>
      <c r="B69" s="32"/>
      <c r="C69" s="32"/>
      <c r="D69" s="32"/>
      <c r="E69" s="32"/>
      <c r="F69" s="32"/>
      <c r="G69" s="32"/>
    </row>
    <row r="70" customFormat="false" ht="27.75" hidden="false" customHeight="true" outlineLevel="0" collapsed="false">
      <c r="A70" s="32" t="s">
        <v>601</v>
      </c>
      <c r="B70" s="32"/>
      <c r="C70" s="32"/>
      <c r="D70" s="32"/>
      <c r="E70" s="32"/>
      <c r="F70" s="32"/>
      <c r="G70" s="32"/>
    </row>
    <row r="72" customFormat="false" ht="15" hidden="false" customHeight="true" outlineLevel="0" collapsed="false">
      <c r="A72" s="5" t="s">
        <v>602</v>
      </c>
      <c r="B72" s="6"/>
      <c r="C72" s="6"/>
      <c r="D72" s="6"/>
      <c r="E72" s="6"/>
      <c r="F72" s="6"/>
      <c r="G72" s="6"/>
    </row>
    <row r="73" customFormat="false" ht="27.75" hidden="false" customHeight="true" outlineLevel="0" collapsed="false">
      <c r="A73" s="32" t="s">
        <v>603</v>
      </c>
      <c r="B73" s="32"/>
      <c r="C73" s="32"/>
      <c r="D73" s="32"/>
      <c r="E73" s="32"/>
      <c r="F73" s="32"/>
      <c r="G73" s="32"/>
    </row>
    <row r="74" customFormat="false" ht="27.75" hidden="false" customHeight="true" outlineLevel="0" collapsed="false">
      <c r="A74" s="32" t="s">
        <v>604</v>
      </c>
      <c r="B74" s="32"/>
      <c r="C74" s="32"/>
      <c r="D74" s="32"/>
      <c r="E74" s="32"/>
      <c r="F74" s="32"/>
      <c r="G74" s="32"/>
    </row>
    <row r="75" customFormat="false" ht="27.75" hidden="false" customHeight="true" outlineLevel="0" collapsed="false">
      <c r="A75" s="32" t="s">
        <v>605</v>
      </c>
      <c r="B75" s="32"/>
      <c r="C75" s="32"/>
      <c r="D75" s="32"/>
      <c r="E75" s="32"/>
      <c r="F75" s="32"/>
      <c r="G75" s="32"/>
    </row>
    <row r="76" customFormat="false" ht="27.75" hidden="false" customHeight="true" outlineLevel="0" collapsed="false">
      <c r="A76" s="32" t="s">
        <v>606</v>
      </c>
      <c r="B76" s="32"/>
      <c r="C76" s="32"/>
      <c r="D76" s="32"/>
      <c r="E76" s="32"/>
      <c r="F76" s="32"/>
      <c r="G76" s="32"/>
    </row>
    <row r="77" customFormat="false" ht="27.75" hidden="false" customHeight="true" outlineLevel="0" collapsed="false">
      <c r="A77" s="32" t="s">
        <v>607</v>
      </c>
      <c r="B77" s="32"/>
      <c r="C77" s="32"/>
      <c r="D77" s="32"/>
      <c r="E77" s="32"/>
      <c r="F77" s="32"/>
      <c r="G77" s="32"/>
    </row>
    <row r="78" customFormat="false" ht="27.75" hidden="false" customHeight="true" outlineLevel="0" collapsed="false">
      <c r="A78" s="32" t="s">
        <v>608</v>
      </c>
      <c r="B78" s="32"/>
      <c r="C78" s="32"/>
      <c r="D78" s="32"/>
      <c r="E78" s="32"/>
      <c r="F78" s="32"/>
      <c r="G78" s="32"/>
    </row>
    <row r="79" customFormat="false" ht="27.75" hidden="false" customHeight="true" outlineLevel="0" collapsed="false">
      <c r="A79" s="31" t="s">
        <v>609</v>
      </c>
      <c r="B79" s="31"/>
      <c r="C79" s="31"/>
      <c r="D79" s="31"/>
      <c r="E79" s="31"/>
      <c r="F79" s="31"/>
      <c r="G79" s="31"/>
    </row>
    <row r="81" customFormat="false" ht="15" hidden="false" customHeight="true" outlineLevel="0" collapsed="false">
      <c r="A81" s="5" t="s">
        <v>610</v>
      </c>
      <c r="B81" s="6"/>
      <c r="C81" s="6"/>
      <c r="D81" s="6"/>
      <c r="E81" s="6"/>
      <c r="F81" s="6"/>
      <c r="G81" s="6"/>
    </row>
    <row r="82" customFormat="false" ht="15" hidden="false" customHeight="true" outlineLevel="0" collapsed="false">
      <c r="B82" s="10" t="s">
        <v>572</v>
      </c>
      <c r="C82" s="10" t="s">
        <v>583</v>
      </c>
    </row>
    <row r="83" customFormat="false" ht="15" hidden="false" customHeight="true" outlineLevel="0" collapsed="false">
      <c r="A83" s="12" t="s">
        <v>611</v>
      </c>
      <c r="B83" s="65" t="n">
        <f aca="false">(B23+C23)/$B$3</f>
        <v>108.61830786</v>
      </c>
      <c r="C83" s="65" t="n">
        <f aca="false">(D23+E23)/$B$3</f>
        <v>111.56107172</v>
      </c>
      <c r="D83" s="3" t="s">
        <v>612</v>
      </c>
    </row>
    <row r="84" customFormat="false" ht="15" hidden="false" customHeight="true" outlineLevel="0" collapsed="false">
      <c r="A84" s="12" t="s">
        <v>613</v>
      </c>
      <c r="B84" s="65" t="n">
        <f aca="false">-Balance!C23/$B$3</f>
        <v>-17.58769573</v>
      </c>
      <c r="C84" s="65" t="n">
        <f aca="false">-Balance!D23/$B$3</f>
        <v>-47.61678873</v>
      </c>
      <c r="D84" s="3"/>
    </row>
    <row r="85" customFormat="false" ht="15" hidden="false" customHeight="true" outlineLevel="0" collapsed="false">
      <c r="A85" s="10" t="s">
        <v>614</v>
      </c>
      <c r="B85" s="14" t="n">
        <f aca="false">B83+B84</f>
        <v>91.03061213</v>
      </c>
      <c r="C85" s="14" t="n">
        <f aca="false">C83+C84</f>
        <v>63.94428299</v>
      </c>
      <c r="D85" s="3" t="s">
        <v>615</v>
      </c>
    </row>
    <row r="86" customFormat="false" ht="15" hidden="false" customHeight="true" outlineLevel="0" collapsed="false">
      <c r="A86" s="12" t="s">
        <v>616</v>
      </c>
      <c r="B86" s="65" t="n">
        <f aca="false">C25/$B$3</f>
        <v>24.21590849</v>
      </c>
      <c r="C86" s="65" t="n">
        <f aca="false">E25/$B$3</f>
        <v>9.53240578</v>
      </c>
      <c r="D86" s="3" t="s">
        <v>617</v>
      </c>
    </row>
    <row r="87" customFormat="false" ht="15" hidden="false" customHeight="true" outlineLevel="0" collapsed="false">
      <c r="A87" s="10" t="s">
        <v>618</v>
      </c>
      <c r="B87" s="14" t="n">
        <f aca="false">B85+B86</f>
        <v>115.24652062</v>
      </c>
      <c r="C87" s="14" t="n">
        <f aca="false">C85+C86</f>
        <v>73.47668877</v>
      </c>
      <c r="D87" s="3" t="s">
        <v>619</v>
      </c>
    </row>
  </sheetData>
  <mergeCells count="14">
    <mergeCell ref="A64:G64"/>
    <mergeCell ref="A65:G65"/>
    <mergeCell ref="A66:G66"/>
    <mergeCell ref="A67:G67"/>
    <mergeCell ref="A68:G68"/>
    <mergeCell ref="A69:G69"/>
    <mergeCell ref="A70:G70"/>
    <mergeCell ref="A73:G73"/>
    <mergeCell ref="A74:G74"/>
    <mergeCell ref="A75:G75"/>
    <mergeCell ref="A76:G76"/>
    <mergeCell ref="A77:G77"/>
    <mergeCell ref="A78:G78"/>
    <mergeCell ref="A79:G7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2"/>
    <col collapsed="false" customWidth="true" hidden="false" outlineLevel="0" max="7" min="2" style="1" width="17"/>
  </cols>
  <sheetData>
    <row r="1" customFormat="false" ht="17.25" hidden="false" customHeight="true" outlineLevel="0" collapsed="false">
      <c r="A1" s="2" t="s">
        <v>141</v>
      </c>
    </row>
    <row r="2" customFormat="false" ht="15" hidden="false" customHeight="true" outlineLevel="0" collapsed="false">
      <c r="A2" s="3" t="s">
        <v>620</v>
      </c>
    </row>
    <row r="3" customFormat="false" ht="15" hidden="false" customHeight="true" outlineLevel="0" collapsed="false">
      <c r="A3" s="10" t="s">
        <v>329</v>
      </c>
      <c r="B3" s="57" t="n">
        <f aca="false">Balance!$B$3</f>
        <v>1000000</v>
      </c>
      <c r="D3" s="10" t="s">
        <v>621</v>
      </c>
      <c r="G3" s="85" t="str">
        <f aca="false">IF(AND(ABS(B20)&lt;=0.05,ABS(C20)&lt;=0.05,ABS(B33)&lt;=0.05,ABS(C33)&lt;=0.05,ABS(B46)&lt;=0.05,ABS(C46)&lt;=0.05,ABS(D46)&lt;=0.05,ABS(E46)&lt;=0.05,ABS(B56)&lt;=0.05,ABS(C56)&lt;=0.05,ABS(B68)&lt;=0.05,ABS(C68)&lt;=0.05,ABS(B84)&lt;=0.05,ABS(C84)&lt;=0.05,ABS(D84)&lt;=0.05,ABS(E84)&lt;=0.05,ABS(B103)&lt;=0.05,ABS(C103)&lt;=0.05,ABS(D103)&lt;=0.05,ABS(E103)&lt;=0.05,ABS(B118)&lt;=0.05,ABS(C118)&lt;=0.05,ABS(B127)&lt;=0.05,ABS(C127)&lt;=0.05,ABS(B139)&lt;=0.05,ABS(C139)&lt;=0.05,ABS(B140)&lt;=0.5,ABS(C140)&lt;=0.5,ABS(B156)&lt;=0.05,ABS(C156)&lt;=0.05,ABS(B168)&lt;=0.05,ABS(C168)&lt;=0.05),"OK","REVISAR")</f>
        <v>OK</v>
      </c>
    </row>
    <row r="5" customFormat="false" ht="15" hidden="false" customHeight="true" outlineLevel="0" collapsed="false">
      <c r="A5" s="5" t="s">
        <v>622</v>
      </c>
      <c r="B5" s="6"/>
      <c r="C5" s="6"/>
      <c r="D5" s="6"/>
      <c r="E5" s="6"/>
      <c r="F5" s="6"/>
      <c r="G5" s="6"/>
    </row>
    <row r="6" customFormat="false" ht="30" hidden="false" customHeight="true" outlineLevel="0" collapsed="false">
      <c r="A6" s="58" t="s">
        <v>2</v>
      </c>
      <c r="B6" s="59" t="s">
        <v>194</v>
      </c>
      <c r="C6" s="59" t="s">
        <v>195</v>
      </c>
      <c r="D6" s="59" t="s">
        <v>196</v>
      </c>
      <c r="E6" s="59" t="s">
        <v>197</v>
      </c>
      <c r="F6" s="59" t="s">
        <v>623</v>
      </c>
      <c r="G6" s="59" t="s">
        <v>624</v>
      </c>
    </row>
    <row r="7" customFormat="false" ht="15" hidden="false" customHeight="true" outlineLevel="0" collapsed="false">
      <c r="A7" s="9" t="s">
        <v>625</v>
      </c>
      <c r="B7" s="86" t="n">
        <v>749430</v>
      </c>
      <c r="C7" s="86" t="n">
        <v>794916</v>
      </c>
      <c r="D7" s="65" t="n">
        <f aca="false">B7/$B$3</f>
        <v>0.74943</v>
      </c>
      <c r="E7" s="65" t="n">
        <f aca="false">C7/$B$3</f>
        <v>0.794916</v>
      </c>
      <c r="F7" s="16" t="n">
        <f aca="false">B7/B$19</f>
        <v>0.00773199809045657</v>
      </c>
      <c r="G7" s="16" t="n">
        <f aca="false">C7/C$19</f>
        <v>0.00660139097286052</v>
      </c>
    </row>
    <row r="8" customFormat="false" ht="15" hidden="false" customHeight="true" outlineLevel="0" collapsed="false">
      <c r="A8" s="9" t="s">
        <v>626</v>
      </c>
      <c r="B8" s="86" t="n">
        <v>0</v>
      </c>
      <c r="C8" s="86" t="n">
        <v>155833</v>
      </c>
      <c r="D8" s="65" t="n">
        <f aca="false">B8/$B$3</f>
        <v>0</v>
      </c>
      <c r="E8" s="65" t="n">
        <f aca="false">C8/$B$3</f>
        <v>0.155833</v>
      </c>
      <c r="F8" s="16" t="n">
        <f aca="false">B8/B$19</f>
        <v>0</v>
      </c>
      <c r="G8" s="16" t="n">
        <f aca="false">C8/C$19</f>
        <v>0.00129411731487827</v>
      </c>
    </row>
    <row r="9" customFormat="false" ht="15" hidden="false" customHeight="true" outlineLevel="0" collapsed="false">
      <c r="A9" s="9" t="s">
        <v>627</v>
      </c>
      <c r="B9" s="86" t="n">
        <v>692677</v>
      </c>
      <c r="C9" s="86" t="n">
        <v>407639</v>
      </c>
      <c r="D9" s="65" t="n">
        <f aca="false">B9/$B$3</f>
        <v>0.692677</v>
      </c>
      <c r="E9" s="65" t="n">
        <f aca="false">C9/$B$3</f>
        <v>0.407639</v>
      </c>
      <c r="F9" s="16" t="n">
        <f aca="false">B9/B$19</f>
        <v>0.00714646763714181</v>
      </c>
      <c r="G9" s="16" t="n">
        <f aca="false">C9/C$19</f>
        <v>0.00338524374246573</v>
      </c>
    </row>
    <row r="10" customFormat="false" ht="15" hidden="false" customHeight="true" outlineLevel="0" collapsed="false">
      <c r="A10" s="40" t="s">
        <v>628</v>
      </c>
      <c r="B10" s="87" t="n">
        <f aca="false">B7+B8+B9</f>
        <v>1442107</v>
      </c>
      <c r="C10" s="87" t="n">
        <f aca="false">C7+C8+C9</f>
        <v>1358388</v>
      </c>
      <c r="D10" s="11" t="n">
        <f aca="false">B10/$B$3</f>
        <v>1.442107</v>
      </c>
      <c r="E10" s="11" t="n">
        <f aca="false">C10/$B$3</f>
        <v>1.358388</v>
      </c>
      <c r="F10" s="88" t="n">
        <f aca="false">B10/B$19</f>
        <v>0.0148784657275984</v>
      </c>
      <c r="G10" s="88" t="n">
        <f aca="false">C10/C$19</f>
        <v>0.0112807520302045</v>
      </c>
    </row>
    <row r="11" customFormat="false" ht="15" hidden="false" customHeight="true" outlineLevel="0" collapsed="false">
      <c r="A11" s="12" t="s">
        <v>629</v>
      </c>
      <c r="B11" s="86" t="n">
        <v>5405088</v>
      </c>
      <c r="C11" s="86" t="n">
        <v>5562796</v>
      </c>
      <c r="D11" s="65" t="n">
        <f aca="false">B11/$B$3</f>
        <v>5.405088</v>
      </c>
      <c r="E11" s="65" t="n">
        <f aca="false">C11/$B$3</f>
        <v>5.562796</v>
      </c>
      <c r="F11" s="88" t="n">
        <f aca="false">B11/B$19</f>
        <v>0.055765221694821</v>
      </c>
      <c r="G11" s="88" t="n">
        <f aca="false">C11/C$19</f>
        <v>0.0461963167155581</v>
      </c>
    </row>
    <row r="12" customFormat="false" ht="15" hidden="false" customHeight="true" outlineLevel="0" collapsed="false">
      <c r="A12" s="9" t="s">
        <v>630</v>
      </c>
      <c r="B12" s="86" t="n">
        <v>58263045</v>
      </c>
      <c r="C12" s="86" t="n">
        <v>69584073</v>
      </c>
      <c r="D12" s="65" t="n">
        <f aca="false">B12/$B$3</f>
        <v>58.263045</v>
      </c>
      <c r="E12" s="65" t="n">
        <f aca="false">C12/$B$3</f>
        <v>69.584073</v>
      </c>
      <c r="F12" s="16" t="n">
        <f aca="false">B12/B$19</f>
        <v>0.601109847062681</v>
      </c>
      <c r="G12" s="16" t="n">
        <f aca="false">C12/C$19</f>
        <v>0.577861901580881</v>
      </c>
    </row>
    <row r="13" customFormat="false" ht="15" hidden="false" customHeight="true" outlineLevel="0" collapsed="false">
      <c r="A13" s="9" t="s">
        <v>631</v>
      </c>
      <c r="B13" s="86" t="n">
        <v>1587002</v>
      </c>
      <c r="C13" s="86" t="n">
        <v>20395095</v>
      </c>
      <c r="D13" s="65" t="n">
        <f aca="false">B13/$B$3</f>
        <v>1.587002</v>
      </c>
      <c r="E13" s="65" t="n">
        <f aca="false">C13/$B$3</f>
        <v>20.395095</v>
      </c>
      <c r="F13" s="16" t="n">
        <f aca="false">B13/B$19</f>
        <v>0.0163733723410469</v>
      </c>
      <c r="G13" s="16" t="n">
        <f aca="false">C13/C$19</f>
        <v>0.169371349958527</v>
      </c>
    </row>
    <row r="14" customFormat="false" ht="15" hidden="false" customHeight="true" outlineLevel="0" collapsed="false">
      <c r="A14" s="40" t="s">
        <v>632</v>
      </c>
      <c r="B14" s="87" t="n">
        <f aca="false">B12+B13</f>
        <v>59850047</v>
      </c>
      <c r="C14" s="87" t="n">
        <f aca="false">C12+C13</f>
        <v>89979168</v>
      </c>
      <c r="D14" s="11" t="n">
        <f aca="false">B14/$B$3</f>
        <v>59.850047</v>
      </c>
      <c r="E14" s="11" t="n">
        <f aca="false">C14/$B$3</f>
        <v>89.979168</v>
      </c>
      <c r="F14" s="88" t="n">
        <f aca="false">B14/B$19</f>
        <v>0.617483219403728</v>
      </c>
      <c r="G14" s="88" t="n">
        <f aca="false">C14/C$19</f>
        <v>0.747233251539408</v>
      </c>
    </row>
    <row r="15" customFormat="false" ht="15" hidden="false" customHeight="true" outlineLevel="0" collapsed="false">
      <c r="A15" s="9" t="s">
        <v>633</v>
      </c>
      <c r="B15" s="86" t="n">
        <v>1363259</v>
      </c>
      <c r="C15" s="86" t="n">
        <v>1188077</v>
      </c>
      <c r="D15" s="65" t="n">
        <f aca="false">B15/$B$3</f>
        <v>1.363259</v>
      </c>
      <c r="E15" s="65" t="n">
        <f aca="false">C15/$B$3</f>
        <v>1.188077</v>
      </c>
      <c r="F15" s="16" t="n">
        <f aca="false">B15/B$19</f>
        <v>0.0140649773625258</v>
      </c>
      <c r="G15" s="16" t="n">
        <f aca="false">C15/C$19</f>
        <v>0.00986640196305422</v>
      </c>
    </row>
    <row r="16" customFormat="false" ht="15" hidden="false" customHeight="true" outlineLevel="0" collapsed="false">
      <c r="A16" s="9" t="s">
        <v>634</v>
      </c>
      <c r="B16" s="86" t="n">
        <v>743974</v>
      </c>
      <c r="C16" s="86" t="n">
        <v>1146626</v>
      </c>
      <c r="D16" s="65" t="n">
        <f aca="false">B16/$B$3</f>
        <v>0.743974</v>
      </c>
      <c r="E16" s="65" t="n">
        <f aca="false">C16/$B$3</f>
        <v>1.146626</v>
      </c>
      <c r="F16" s="16" t="n">
        <f aca="false">B16/B$19</f>
        <v>0.00767570760090914</v>
      </c>
      <c r="G16" s="16" t="n">
        <f aca="false">C16/C$19</f>
        <v>0.00952217155730563</v>
      </c>
    </row>
    <row r="17" customFormat="false" ht="15" hidden="false" customHeight="true" outlineLevel="0" collapsed="false">
      <c r="A17" s="40" t="s">
        <v>635</v>
      </c>
      <c r="B17" s="87" t="n">
        <f aca="false">B15+B16</f>
        <v>2107233</v>
      </c>
      <c r="C17" s="87" t="n">
        <f aca="false">C15+C16</f>
        <v>2334703</v>
      </c>
      <c r="D17" s="11" t="n">
        <f aca="false">B17/$B$3</f>
        <v>2.107233</v>
      </c>
      <c r="E17" s="11" t="n">
        <f aca="false">C17/$B$3</f>
        <v>2.334703</v>
      </c>
      <c r="F17" s="88" t="n">
        <f aca="false">B17/B$19</f>
        <v>0.021740684963435</v>
      </c>
      <c r="G17" s="88" t="n">
        <f aca="false">C17/C$19</f>
        <v>0.0193885735203598</v>
      </c>
    </row>
    <row r="18" customFormat="false" ht="15" hidden="false" customHeight="true" outlineLevel="0" collapsed="false">
      <c r="A18" s="12" t="s">
        <v>636</v>
      </c>
      <c r="B18" s="86" t="n">
        <v>28121312</v>
      </c>
      <c r="C18" s="86" t="n">
        <v>21181385</v>
      </c>
      <c r="D18" s="65" t="n">
        <f aca="false">B18/$B$3</f>
        <v>28.121312</v>
      </c>
      <c r="E18" s="65" t="n">
        <f aca="false">C18/$B$3</f>
        <v>21.181385</v>
      </c>
      <c r="F18" s="88" t="n">
        <f aca="false">B18/B$19</f>
        <v>0.290132408210418</v>
      </c>
      <c r="G18" s="88" t="n">
        <f aca="false">C18/C$19</f>
        <v>0.17590110619447</v>
      </c>
    </row>
    <row r="19" customFormat="false" ht="15" hidden="false" customHeight="true" outlineLevel="0" collapsed="false">
      <c r="A19" s="40" t="s">
        <v>637</v>
      </c>
      <c r="B19" s="89" t="n">
        <f aca="false">B10+B11+B14+B17+B18</f>
        <v>96925787</v>
      </c>
      <c r="C19" s="89" t="n">
        <f aca="false">C10+C11+C14+C17+C18</f>
        <v>120416440</v>
      </c>
      <c r="D19" s="11" t="n">
        <f aca="false">B19/$B$3</f>
        <v>96.925787</v>
      </c>
      <c r="E19" s="11" t="n">
        <f aca="false">C19/$B$3</f>
        <v>120.41644</v>
      </c>
      <c r="F19" s="88" t="n">
        <f aca="false">B19/B$19</f>
        <v>1</v>
      </c>
      <c r="G19" s="88" t="n">
        <f aca="false">C19/C$19</f>
        <v>1</v>
      </c>
    </row>
    <row r="20" customFormat="false" ht="15" hidden="false" customHeight="true" outlineLevel="0" collapsed="false">
      <c r="A20" s="3" t="s">
        <v>638</v>
      </c>
      <c r="B20" s="90" t="n">
        <f aca="false">ROUND(B19-(96925787),2)</f>
        <v>0</v>
      </c>
      <c r="C20" s="90" t="n">
        <f aca="false">ROUND(C19-(120416440),2)</f>
        <v>0</v>
      </c>
    </row>
    <row r="21" customFormat="false" ht="15" hidden="false" customHeight="true" outlineLevel="0" collapsed="false">
      <c r="A21" s="12" t="s">
        <v>639</v>
      </c>
      <c r="B21" s="19" t="n">
        <f aca="false">PyG!C9</f>
        <v>95437900.05</v>
      </c>
      <c r="C21" s="19" t="n">
        <f aca="false">PyG!D9</f>
        <v>119721562.42</v>
      </c>
      <c r="D21" s="65" t="n">
        <f aca="false">B21/$B$3</f>
        <v>95.43790005</v>
      </c>
      <c r="E21" s="65" t="n">
        <f aca="false">C21/$B$3</f>
        <v>119.72156242</v>
      </c>
    </row>
    <row r="22" customFormat="false" ht="15" hidden="false" customHeight="true" outlineLevel="0" collapsed="false">
      <c r="A22" s="10" t="s">
        <v>640</v>
      </c>
      <c r="B22" s="91" t="n">
        <f aca="false">ROUND(B19-B21,0)</f>
        <v>1487887</v>
      </c>
      <c r="C22" s="91" t="n">
        <f aca="false">ROUND(C19-C21,0)</f>
        <v>694878</v>
      </c>
      <c r="D22" s="11" t="n">
        <f aca="false">B22/$B$3</f>
        <v>1.487887</v>
      </c>
      <c r="E22" s="11" t="n">
        <f aca="false">C22/$B$3</f>
        <v>0.694878</v>
      </c>
    </row>
    <row r="23" customFormat="false" ht="30" hidden="false" customHeight="true" outlineLevel="0" collapsed="false">
      <c r="A23" s="32" t="s">
        <v>641</v>
      </c>
      <c r="B23" s="32"/>
      <c r="C23" s="32"/>
      <c r="D23" s="32"/>
      <c r="E23" s="32"/>
      <c r="F23" s="32"/>
      <c r="G23" s="32"/>
    </row>
    <row r="24" customFormat="false" ht="30" hidden="false" customHeight="true" outlineLevel="0" collapsed="false">
      <c r="A24" s="32" t="s">
        <v>642</v>
      </c>
      <c r="B24" s="32"/>
      <c r="C24" s="32"/>
      <c r="D24" s="32"/>
      <c r="E24" s="32"/>
      <c r="F24" s="32"/>
      <c r="G24" s="32"/>
    </row>
    <row r="26" customFormat="false" ht="15" hidden="false" customHeight="true" outlineLevel="0" collapsed="false">
      <c r="A26" s="5" t="s">
        <v>643</v>
      </c>
      <c r="B26" s="6"/>
      <c r="C26" s="6"/>
      <c r="D26" s="6"/>
      <c r="E26" s="6"/>
      <c r="F26" s="6"/>
      <c r="G26" s="6"/>
    </row>
    <row r="27" customFormat="false" ht="30" hidden="false" customHeight="true" outlineLevel="0" collapsed="false">
      <c r="A27" s="58" t="s">
        <v>644</v>
      </c>
      <c r="B27" s="59" t="s">
        <v>194</v>
      </c>
      <c r="C27" s="59" t="s">
        <v>195</v>
      </c>
      <c r="D27" s="59" t="s">
        <v>196</v>
      </c>
      <c r="E27" s="59" t="s">
        <v>197</v>
      </c>
    </row>
    <row r="28" customFormat="false" ht="15" hidden="false" customHeight="true" outlineLevel="0" collapsed="false">
      <c r="A28" s="7" t="s">
        <v>645</v>
      </c>
      <c r="B28" s="26" t="n">
        <v>6076999.98</v>
      </c>
      <c r="C28" s="26" t="n">
        <v>5675479.39</v>
      </c>
    </row>
    <row r="29" customFormat="false" ht="15" hidden="false" customHeight="true" outlineLevel="0" collapsed="false">
      <c r="A29" s="7" t="s">
        <v>646</v>
      </c>
      <c r="B29" s="26" t="n">
        <v>81597.05</v>
      </c>
      <c r="C29" s="26" t="n">
        <v>652908.67</v>
      </c>
    </row>
    <row r="30" customFormat="false" ht="15" hidden="false" customHeight="true" outlineLevel="0" collapsed="false">
      <c r="A30" s="7" t="s">
        <v>647</v>
      </c>
      <c r="B30" s="26" t="n">
        <v>1575296.46</v>
      </c>
      <c r="C30" s="26" t="n">
        <v>1484488.71</v>
      </c>
    </row>
    <row r="31" customFormat="false" ht="15" hidden="false" customHeight="true" outlineLevel="0" collapsed="false">
      <c r="A31" s="7" t="s">
        <v>648</v>
      </c>
      <c r="B31" s="26" t="n">
        <v>758109.25</v>
      </c>
      <c r="C31" s="26" t="n">
        <v>904556.47</v>
      </c>
    </row>
    <row r="32" customFormat="false" ht="15" hidden="false" customHeight="true" outlineLevel="0" collapsed="false">
      <c r="A32" s="40" t="s">
        <v>649</v>
      </c>
      <c r="B32" s="66" t="n">
        <f aca="false">B28+B29+B30+B31</f>
        <v>8492002.74</v>
      </c>
      <c r="C32" s="66" t="n">
        <f aca="false">C28+C29+C30+C31</f>
        <v>8717433.24</v>
      </c>
      <c r="D32" s="11" t="n">
        <f aca="false">B32/$B$3</f>
        <v>8.49200274</v>
      </c>
      <c r="E32" s="11" t="n">
        <f aca="false">C32/$B$3</f>
        <v>8.71743324</v>
      </c>
    </row>
    <row r="33" customFormat="false" ht="15" hidden="false" customHeight="true" outlineLevel="0" collapsed="false">
      <c r="A33" s="3" t="s">
        <v>650</v>
      </c>
      <c r="B33" s="90" t="n">
        <f aca="false">ROUND(B32-(8492002.74),2)</f>
        <v>0</v>
      </c>
      <c r="C33" s="90" t="n">
        <f aca="false">ROUND(C32-(8717433.24),2)</f>
        <v>0</v>
      </c>
    </row>
    <row r="35" customFormat="false" ht="30" hidden="false" customHeight="true" outlineLevel="0" collapsed="false">
      <c r="A35" s="58" t="s">
        <v>651</v>
      </c>
      <c r="B35" s="59" t="s">
        <v>652</v>
      </c>
      <c r="C35" s="59" t="s">
        <v>653</v>
      </c>
      <c r="D35" s="59" t="s">
        <v>654</v>
      </c>
      <c r="E35" s="59" t="s">
        <v>655</v>
      </c>
      <c r="F35" s="59" t="s">
        <v>656</v>
      </c>
      <c r="G35" s="59" t="s">
        <v>657</v>
      </c>
    </row>
    <row r="36" customFormat="false" ht="15" hidden="false" customHeight="true" outlineLevel="0" collapsed="false">
      <c r="A36" s="7" t="s">
        <v>658</v>
      </c>
      <c r="B36" s="26" t="n">
        <v>87592276.48</v>
      </c>
      <c r="C36" s="26" t="n">
        <v>7772144.36</v>
      </c>
      <c r="D36" s="26" t="n">
        <v>88435923.17</v>
      </c>
      <c r="E36" s="26" t="n">
        <v>4024979.84</v>
      </c>
      <c r="F36" s="30" t="n">
        <f aca="false">B36+C36</f>
        <v>95364420.84</v>
      </c>
      <c r="G36" s="30" t="n">
        <f aca="false">D36+E36</f>
        <v>92460903.01</v>
      </c>
    </row>
    <row r="37" customFormat="false" ht="15" hidden="false" customHeight="true" outlineLevel="0" collapsed="false">
      <c r="A37" s="7" t="s">
        <v>659</v>
      </c>
      <c r="B37" s="26" t="n">
        <v>1755500</v>
      </c>
      <c r="C37" s="26" t="n">
        <v>0</v>
      </c>
      <c r="D37" s="26" t="n">
        <v>0</v>
      </c>
      <c r="E37" s="26" t="n">
        <v>0</v>
      </c>
      <c r="F37" s="30" t="n">
        <f aca="false">B37+C37</f>
        <v>1755500</v>
      </c>
      <c r="G37" s="30" t="n">
        <f aca="false">D37+E37</f>
        <v>0</v>
      </c>
    </row>
    <row r="38" customFormat="false" ht="15" hidden="false" customHeight="true" outlineLevel="0" collapsed="false">
      <c r="A38" s="7" t="s">
        <v>660</v>
      </c>
      <c r="B38" s="26" t="n">
        <v>1066500.06</v>
      </c>
      <c r="C38" s="26" t="n">
        <v>0</v>
      </c>
      <c r="D38" s="26" t="n">
        <v>975500</v>
      </c>
      <c r="E38" s="26" t="n">
        <v>0</v>
      </c>
      <c r="F38" s="30" t="n">
        <f aca="false">B38+C38</f>
        <v>1066500.06</v>
      </c>
      <c r="G38" s="30" t="n">
        <f aca="false">D38+E38</f>
        <v>975500</v>
      </c>
    </row>
    <row r="39" customFormat="false" ht="15" hidden="false" customHeight="true" outlineLevel="0" collapsed="false">
      <c r="A39" s="7" t="s">
        <v>646</v>
      </c>
      <c r="B39" s="26" t="n">
        <v>0</v>
      </c>
      <c r="C39" s="26" t="n">
        <v>115149.97</v>
      </c>
      <c r="D39" s="26" t="n">
        <v>3501514.66</v>
      </c>
      <c r="E39" s="26" t="n">
        <v>0</v>
      </c>
      <c r="F39" s="30" t="n">
        <f aca="false">B39+C39</f>
        <v>115149.97</v>
      </c>
      <c r="G39" s="30" t="n">
        <f aca="false">D39+E39</f>
        <v>3501514.66</v>
      </c>
    </row>
    <row r="40" customFormat="false" ht="15" hidden="false" customHeight="true" outlineLevel="0" collapsed="false">
      <c r="A40" s="7" t="s">
        <v>647</v>
      </c>
      <c r="B40" s="26" t="n">
        <v>872560.04</v>
      </c>
      <c r="C40" s="26" t="n">
        <v>1130781.77</v>
      </c>
      <c r="D40" s="26" t="n">
        <v>717690.79</v>
      </c>
      <c r="E40" s="26" t="n">
        <v>943908.61</v>
      </c>
      <c r="F40" s="30" t="n">
        <f aca="false">B40+C40</f>
        <v>2003341.81</v>
      </c>
      <c r="G40" s="30" t="n">
        <f aca="false">D40+E40</f>
        <v>1661599.4</v>
      </c>
    </row>
    <row r="41" customFormat="false" ht="15" hidden="false" customHeight="true" outlineLevel="0" collapsed="false">
      <c r="A41" s="7" t="s">
        <v>661</v>
      </c>
      <c r="B41" s="26" t="n">
        <v>521250</v>
      </c>
      <c r="C41" s="26" t="n">
        <v>-525000</v>
      </c>
      <c r="D41" s="26" t="n">
        <v>-2690000</v>
      </c>
      <c r="E41" s="26" t="n">
        <v>0</v>
      </c>
      <c r="F41" s="30" t="n">
        <f aca="false">B41+C41</f>
        <v>-3750</v>
      </c>
      <c r="G41" s="30" t="n">
        <f aca="false">D41+E41</f>
        <v>-2690000</v>
      </c>
    </row>
    <row r="42" customFormat="false" ht="15" hidden="false" customHeight="true" outlineLevel="0" collapsed="false">
      <c r="A42" s="7" t="s">
        <v>662</v>
      </c>
      <c r="B42" s="26" t="n">
        <v>3120261.33</v>
      </c>
      <c r="C42" s="26" t="n">
        <v>274237.16</v>
      </c>
      <c r="D42" s="26" t="n">
        <v>4703214.8</v>
      </c>
      <c r="E42" s="26" t="n">
        <v>48199.15</v>
      </c>
      <c r="F42" s="30" t="n">
        <f aca="false">B42+C42</f>
        <v>3394498.49</v>
      </c>
      <c r="G42" s="30" t="n">
        <f aca="false">D42+E42</f>
        <v>4751413.95</v>
      </c>
    </row>
    <row r="43" customFormat="false" ht="15" hidden="false" customHeight="true" outlineLevel="0" collapsed="false">
      <c r="A43" s="7" t="s">
        <v>663</v>
      </c>
      <c r="B43" s="26" t="n">
        <v>6334727.17</v>
      </c>
      <c r="C43" s="26" t="n">
        <v>2000</v>
      </c>
      <c r="D43" s="26" t="n">
        <v>1725617.31</v>
      </c>
      <c r="E43" s="26" t="n">
        <v>22003.38</v>
      </c>
      <c r="F43" s="30" t="n">
        <f aca="false">B43+C43</f>
        <v>6336727.17</v>
      </c>
      <c r="G43" s="30" t="n">
        <f aca="false">D43+E43</f>
        <v>1747620.69</v>
      </c>
    </row>
    <row r="44" customFormat="false" ht="15" hidden="false" customHeight="true" outlineLevel="0" collapsed="false">
      <c r="A44" s="7" t="s">
        <v>28</v>
      </c>
      <c r="B44" s="26" t="n">
        <v>23706486.31</v>
      </c>
      <c r="C44" s="26" t="n">
        <v>1854466.46</v>
      </c>
      <c r="D44" s="26" t="n">
        <v>23215650.25</v>
      </c>
      <c r="E44" s="26" t="n">
        <v>430627.97</v>
      </c>
      <c r="F44" s="30" t="n">
        <f aca="false">B44+C44</f>
        <v>25560952.77</v>
      </c>
      <c r="G44" s="30" t="n">
        <f aca="false">D44+E44</f>
        <v>23646278.22</v>
      </c>
    </row>
    <row r="45" customFormat="false" ht="15" hidden="false" customHeight="true" outlineLevel="0" collapsed="false">
      <c r="A45" s="40" t="s">
        <v>664</v>
      </c>
      <c r="B45" s="68" t="n">
        <f aca="false">B36+B37+B38+B39+B40+B41+B42+B43+B44</f>
        <v>124969561.39</v>
      </c>
      <c r="C45" s="68" t="n">
        <f aca="false">C36+C37+C38+C39+C40+C41+C42+C43+C44</f>
        <v>10623779.72</v>
      </c>
      <c r="D45" s="68" t="n">
        <f aca="false">D36+D37+D38+D39+D40+D41+D42+D43+D44</f>
        <v>120585110.98</v>
      </c>
      <c r="E45" s="68" t="n">
        <f aca="false">E36+E37+E38+E39+E40+E41+E42+E43+E44</f>
        <v>5469718.95</v>
      </c>
      <c r="F45" s="68" t="n">
        <f aca="false">F36+F37+F38+F39+F40+F41+F42+F43+F44</f>
        <v>135593341.11</v>
      </c>
      <c r="G45" s="68" t="n">
        <f aca="false">G36+G37+G38+G39+G40+G41+G42+G43+G44</f>
        <v>126054829.93</v>
      </c>
    </row>
    <row r="46" customFormat="false" ht="15" hidden="false" customHeight="true" outlineLevel="0" collapsed="false">
      <c r="A46" s="3" t="s">
        <v>665</v>
      </c>
      <c r="B46" s="90" t="n">
        <f aca="false">ROUND(B45-(124969561.39),2)</f>
        <v>0</v>
      </c>
      <c r="C46" s="90" t="n">
        <f aca="false">ROUND(C45-(10623779.72),2)</f>
        <v>0</v>
      </c>
      <c r="D46" s="90" t="n">
        <f aca="false">ROUND(D45-(120585110.98),2)</f>
        <v>0</v>
      </c>
      <c r="E46" s="90" t="n">
        <f aca="false">ROUND(E45-(5469718.95),2)</f>
        <v>0</v>
      </c>
    </row>
    <row r="48" customFormat="false" ht="15" hidden="false" customHeight="true" outlineLevel="0" collapsed="false">
      <c r="A48" s="5" t="s">
        <v>666</v>
      </c>
      <c r="B48" s="6"/>
      <c r="C48" s="6"/>
      <c r="D48" s="6"/>
      <c r="E48" s="6"/>
      <c r="F48" s="6"/>
      <c r="G48" s="6"/>
    </row>
    <row r="49" customFormat="false" ht="30" hidden="false" customHeight="true" outlineLevel="0" collapsed="false">
      <c r="A49" s="58" t="s">
        <v>2</v>
      </c>
      <c r="B49" s="59" t="s">
        <v>194</v>
      </c>
      <c r="C49" s="59" t="s">
        <v>195</v>
      </c>
      <c r="D49" s="59" t="s">
        <v>196</v>
      </c>
      <c r="E49" s="59" t="s">
        <v>197</v>
      </c>
    </row>
    <row r="50" customFormat="false" ht="15" hidden="false" customHeight="true" outlineLevel="0" collapsed="false">
      <c r="A50" s="7" t="s">
        <v>667</v>
      </c>
      <c r="B50" s="54" t="n">
        <f aca="false">SUM(B36:C37)+B39+C39+B40+C40+B43+C43</f>
        <v>105575139.79</v>
      </c>
      <c r="C50" s="54" t="n">
        <f aca="false">SUM(D36:E37)+D39+E39+D40+E40+D43+E43</f>
        <v>99371637.76</v>
      </c>
      <c r="D50" s="65" t="n">
        <f aca="false">B50/$B$3</f>
        <v>105.57513979</v>
      </c>
      <c r="E50" s="65" t="n">
        <f aca="false">C50/$B$3</f>
        <v>99.37163776</v>
      </c>
    </row>
    <row r="51" customFormat="false" ht="15" hidden="false" customHeight="true" outlineLevel="0" collapsed="false">
      <c r="A51" s="9" t="s">
        <v>668</v>
      </c>
      <c r="B51" s="54" t="n">
        <f aca="false">B36+B37+B39+B40+B43</f>
        <v>96555063.69</v>
      </c>
      <c r="C51" s="54" t="n">
        <f aca="false">D36+D37+D39+D40+D43</f>
        <v>94380745.93</v>
      </c>
      <c r="D51" s="65" t="n">
        <f aca="false">B51/$B$3</f>
        <v>96.55506369</v>
      </c>
      <c r="E51" s="65" t="n">
        <f aca="false">C51/$B$3</f>
        <v>94.38074593</v>
      </c>
    </row>
    <row r="52" customFormat="false" ht="15" hidden="false" customHeight="true" outlineLevel="0" collapsed="false">
      <c r="A52" s="9" t="s">
        <v>669</v>
      </c>
      <c r="B52" s="54" t="n">
        <f aca="false">C36+C37+C39+C40+C43</f>
        <v>9020076.1</v>
      </c>
      <c r="C52" s="54" t="n">
        <f aca="false">E36+E37+E39+E40+E43</f>
        <v>4990891.83</v>
      </c>
      <c r="D52" s="65" t="n">
        <f aca="false">B52/$B$3</f>
        <v>9.0200761</v>
      </c>
      <c r="E52" s="65" t="n">
        <f aca="false">C52/$B$3</f>
        <v>4.99089183</v>
      </c>
    </row>
    <row r="53" customFormat="false" ht="15" hidden="false" customHeight="true" outlineLevel="0" collapsed="false">
      <c r="A53" s="7" t="s">
        <v>670</v>
      </c>
      <c r="B53" s="54" t="n">
        <f aca="false">B32</f>
        <v>8492002.74</v>
      </c>
      <c r="C53" s="54" t="n">
        <f aca="false">C32</f>
        <v>8717433.24</v>
      </c>
      <c r="D53" s="65" t="n">
        <f aca="false">B53/$B$3</f>
        <v>8.49200274</v>
      </c>
      <c r="E53" s="65" t="n">
        <f aca="false">C53/$B$3</f>
        <v>8.71743324</v>
      </c>
    </row>
    <row r="54" customFormat="false" ht="15" hidden="false" customHeight="true" outlineLevel="0" collapsed="false">
      <c r="A54" s="10" t="s">
        <v>671</v>
      </c>
      <c r="B54" s="27" t="n">
        <f aca="false">B50+B53</f>
        <v>114067142.53</v>
      </c>
      <c r="C54" s="27" t="n">
        <f aca="false">C50+C53</f>
        <v>108089071</v>
      </c>
      <c r="D54" s="11" t="n">
        <f aca="false">B54/$B$3</f>
        <v>114.06714253</v>
      </c>
      <c r="E54" s="11" t="n">
        <f aca="false">C54/$B$3</f>
        <v>108.089071</v>
      </c>
    </row>
    <row r="55" customFormat="false" ht="15" hidden="false" customHeight="true" outlineLevel="0" collapsed="false">
      <c r="A55" s="12" t="s">
        <v>672</v>
      </c>
      <c r="B55" s="61" t="n">
        <f aca="false">-PyG!C18</f>
        <v>114067142.53</v>
      </c>
      <c r="C55" s="61" t="n">
        <f aca="false">-PyG!D18</f>
        <v>108089070.97</v>
      </c>
      <c r="D55" s="65" t="n">
        <f aca="false">B55/$B$3</f>
        <v>114.06714253</v>
      </c>
      <c r="E55" s="65" t="n">
        <f aca="false">C55/$B$3</f>
        <v>108.08907097</v>
      </c>
    </row>
    <row r="56" customFormat="false" ht="15" hidden="false" customHeight="true" outlineLevel="0" collapsed="false">
      <c r="A56" s="10" t="s">
        <v>673</v>
      </c>
      <c r="B56" s="27" t="n">
        <f aca="false">ROUND(B54-B55,2)</f>
        <v>0</v>
      </c>
      <c r="C56" s="27" t="n">
        <f aca="false">ROUND(C54-C55,2)</f>
        <v>0.03</v>
      </c>
    </row>
    <row r="57" customFormat="false" ht="30" hidden="false" customHeight="true" outlineLevel="0" collapsed="false">
      <c r="A57" s="32" t="s">
        <v>674</v>
      </c>
      <c r="B57" s="32"/>
      <c r="C57" s="32"/>
      <c r="D57" s="32"/>
      <c r="E57" s="32"/>
      <c r="F57" s="32"/>
      <c r="G57" s="32"/>
    </row>
    <row r="58" customFormat="false" ht="30" hidden="false" customHeight="true" outlineLevel="0" collapsed="false">
      <c r="A58" s="32" t="s">
        <v>675</v>
      </c>
      <c r="B58" s="32"/>
      <c r="C58" s="32"/>
      <c r="D58" s="32"/>
      <c r="E58" s="32"/>
      <c r="F58" s="32"/>
      <c r="G58" s="32"/>
    </row>
    <row r="59" customFormat="false" ht="15" hidden="false" customHeight="true" outlineLevel="0" collapsed="false">
      <c r="A59" s="10" t="s">
        <v>676</v>
      </c>
    </row>
    <row r="60" customFormat="false" ht="15" hidden="false" customHeight="true" outlineLevel="0" collapsed="false">
      <c r="A60" s="12" t="s">
        <v>677</v>
      </c>
      <c r="B60" s="30" t="n">
        <f aca="false">ROUND(F44-Nota7!B23,2)</f>
        <v>255833.33</v>
      </c>
      <c r="C60" s="30" t="n">
        <f aca="false">ROUND(G44-Nota7!B19,2)</f>
        <v>0</v>
      </c>
    </row>
    <row r="61" customFormat="false" ht="30" hidden="false" customHeight="true" outlineLevel="0" collapsed="false">
      <c r="A61" s="31" t="s">
        <v>678</v>
      </c>
      <c r="B61" s="31"/>
      <c r="C61" s="31"/>
      <c r="D61" s="31"/>
      <c r="E61" s="31"/>
      <c r="F61" s="31"/>
      <c r="G61" s="31"/>
    </row>
    <row r="63" customFormat="false" ht="15" hidden="false" customHeight="true" outlineLevel="0" collapsed="false">
      <c r="A63" s="5" t="s">
        <v>679</v>
      </c>
      <c r="B63" s="6"/>
      <c r="C63" s="6"/>
      <c r="D63" s="6"/>
      <c r="E63" s="6"/>
      <c r="F63" s="6"/>
      <c r="G63" s="6"/>
    </row>
    <row r="64" customFormat="false" ht="30" hidden="false" customHeight="true" outlineLevel="0" collapsed="false">
      <c r="A64" s="58" t="s">
        <v>2</v>
      </c>
      <c r="B64" s="59" t="s">
        <v>194</v>
      </c>
      <c r="C64" s="59" t="s">
        <v>195</v>
      </c>
    </row>
    <row r="65" customFormat="false" ht="15" hidden="false" customHeight="true" outlineLevel="0" collapsed="false">
      <c r="A65" s="7" t="s">
        <v>680</v>
      </c>
      <c r="B65" s="26" t="n">
        <v>-8615.01</v>
      </c>
      <c r="C65" s="26" t="n">
        <v>0</v>
      </c>
    </row>
    <row r="66" customFormat="false" ht="15" hidden="false" customHeight="true" outlineLevel="0" collapsed="false">
      <c r="A66" s="7" t="s">
        <v>681</v>
      </c>
      <c r="B66" s="26" t="n">
        <v>3929.99</v>
      </c>
      <c r="C66" s="26" t="n">
        <v>1407.44</v>
      </c>
    </row>
    <row r="67" customFormat="false" ht="15" hidden="false" customHeight="true" outlineLevel="0" collapsed="false">
      <c r="A67" s="40" t="s">
        <v>682</v>
      </c>
      <c r="B67" s="66" t="n">
        <f aca="false">B65+B66</f>
        <v>-4685.02</v>
      </c>
      <c r="C67" s="66" t="n">
        <f aca="false">C65+C66</f>
        <v>1407.44</v>
      </c>
    </row>
    <row r="68" customFormat="false" ht="15" hidden="false" customHeight="true" outlineLevel="0" collapsed="false">
      <c r="A68" s="3" t="s">
        <v>683</v>
      </c>
      <c r="B68" s="90" t="n">
        <f aca="false">ROUND(B67-(-4685.02),2)</f>
        <v>0</v>
      </c>
      <c r="C68" s="90" t="n">
        <f aca="false">ROUND(C67-(1407.44),2)</f>
        <v>0</v>
      </c>
    </row>
    <row r="70" customFormat="false" ht="15" hidden="false" customHeight="true" outlineLevel="0" collapsed="false">
      <c r="A70" s="5" t="s">
        <v>684</v>
      </c>
      <c r="B70" s="6"/>
      <c r="C70" s="6"/>
      <c r="D70" s="6"/>
      <c r="E70" s="6"/>
      <c r="F70" s="6"/>
      <c r="G70" s="6"/>
    </row>
    <row r="71" customFormat="false" ht="30" hidden="false" customHeight="true" outlineLevel="0" collapsed="false">
      <c r="A71" s="58" t="s">
        <v>685</v>
      </c>
      <c r="B71" s="59" t="s">
        <v>686</v>
      </c>
      <c r="C71" s="59" t="s">
        <v>687</v>
      </c>
      <c r="D71" s="59" t="s">
        <v>688</v>
      </c>
      <c r="E71" s="59" t="s">
        <v>689</v>
      </c>
    </row>
    <row r="72" customFormat="false" ht="15" hidden="false" customHeight="true" outlineLevel="0" collapsed="false">
      <c r="A72" s="7" t="s">
        <v>690</v>
      </c>
      <c r="B72" s="26" t="n">
        <v>0</v>
      </c>
      <c r="C72" s="26" t="n">
        <v>247.93</v>
      </c>
    </row>
    <row r="73" customFormat="false" ht="15" hidden="false" customHeight="true" outlineLevel="0" collapsed="false">
      <c r="A73" s="7" t="s">
        <v>691</v>
      </c>
      <c r="B73" s="26" t="n">
        <v>3653.7</v>
      </c>
      <c r="C73" s="26" t="n">
        <v>8075.52</v>
      </c>
      <c r="D73" s="26" t="n">
        <v>23284.63</v>
      </c>
      <c r="E73" s="26" t="n">
        <v>511.4</v>
      </c>
    </row>
    <row r="74" customFormat="false" ht="15" hidden="false" customHeight="true" outlineLevel="0" collapsed="false">
      <c r="A74" s="7" t="s">
        <v>692</v>
      </c>
      <c r="B74" s="26" t="n">
        <v>12684.4</v>
      </c>
      <c r="C74" s="26" t="n">
        <v>5616.5</v>
      </c>
      <c r="D74" s="26" t="n">
        <v>20638.68</v>
      </c>
      <c r="E74" s="26" t="n">
        <v>7144.88</v>
      </c>
    </row>
    <row r="75" customFormat="false" ht="15" hidden="false" customHeight="true" outlineLevel="0" collapsed="false">
      <c r="A75" s="7" t="s">
        <v>693</v>
      </c>
      <c r="B75" s="26" t="n">
        <v>0</v>
      </c>
      <c r="C75" s="26" t="n">
        <v>2809.92</v>
      </c>
      <c r="D75" s="26" t="n">
        <v>5998.32</v>
      </c>
      <c r="E75" s="26" t="n">
        <v>495.87</v>
      </c>
    </row>
    <row r="76" customFormat="false" ht="15" hidden="false" customHeight="true" outlineLevel="0" collapsed="false">
      <c r="A76" s="7" t="s">
        <v>694</v>
      </c>
      <c r="B76" s="26" t="n">
        <v>504340.35</v>
      </c>
      <c r="C76" s="26" t="n">
        <v>0</v>
      </c>
      <c r="D76" s="26" t="n">
        <v>447871.26</v>
      </c>
      <c r="E76" s="26" t="n">
        <v>0</v>
      </c>
    </row>
    <row r="77" customFormat="false" ht="15" hidden="false" customHeight="true" outlineLevel="0" collapsed="false">
      <c r="A77" s="7" t="s">
        <v>695</v>
      </c>
      <c r="B77" s="26" t="n">
        <v>2742.88</v>
      </c>
      <c r="C77" s="26" t="n">
        <v>1116.72</v>
      </c>
      <c r="D77" s="26" t="n">
        <v>0</v>
      </c>
      <c r="E77" s="26" t="n">
        <v>40.93</v>
      </c>
    </row>
    <row r="78" customFormat="false" ht="15" hidden="false" customHeight="true" outlineLevel="0" collapsed="false">
      <c r="A78" s="7" t="s">
        <v>696</v>
      </c>
      <c r="B78" s="26" t="n">
        <v>0</v>
      </c>
      <c r="C78" s="26" t="n">
        <v>908.66</v>
      </c>
      <c r="D78" s="26" t="n">
        <v>0</v>
      </c>
      <c r="E78" s="26" t="n">
        <v>5181967.88</v>
      </c>
    </row>
    <row r="79" customFormat="false" ht="15" hidden="false" customHeight="true" outlineLevel="0" collapsed="false">
      <c r="A79" s="7" t="s">
        <v>697</v>
      </c>
      <c r="B79" s="26" t="n">
        <v>138687.1</v>
      </c>
      <c r="C79" s="26" t="n">
        <v>11127.47</v>
      </c>
      <c r="D79" s="26" t="n">
        <v>89488.24</v>
      </c>
      <c r="E79" s="26" t="n">
        <v>11284.6</v>
      </c>
    </row>
    <row r="80" customFormat="false" ht="15" hidden="false" customHeight="true" outlineLevel="0" collapsed="false">
      <c r="A80" s="7" t="s">
        <v>698</v>
      </c>
      <c r="B80" s="26" t="n">
        <v>0</v>
      </c>
      <c r="C80" s="26" t="n">
        <v>13721489.56</v>
      </c>
      <c r="D80" s="26" t="n">
        <v>0</v>
      </c>
      <c r="E80" s="26" t="n">
        <v>79036.55</v>
      </c>
    </row>
    <row r="81" customFormat="false" ht="15" hidden="false" customHeight="true" outlineLevel="0" collapsed="false">
      <c r="A81" s="7" t="s">
        <v>699</v>
      </c>
      <c r="B81" s="26" t="n">
        <v>0</v>
      </c>
      <c r="C81" s="26" t="n">
        <v>4126.91</v>
      </c>
      <c r="D81" s="26" t="n">
        <v>6695.36</v>
      </c>
      <c r="E81" s="26" t="n">
        <v>4970.17</v>
      </c>
    </row>
    <row r="82" customFormat="false" ht="15" hidden="false" customHeight="true" outlineLevel="0" collapsed="false">
      <c r="A82" s="7" t="s">
        <v>700</v>
      </c>
      <c r="B82" s="26" t="n">
        <v>22808.89</v>
      </c>
      <c r="C82" s="26" t="n">
        <v>5355.85</v>
      </c>
      <c r="D82" s="26" t="n">
        <v>152521.96</v>
      </c>
      <c r="E82" s="26" t="n">
        <v>755602.62</v>
      </c>
    </row>
    <row r="83" customFormat="false" ht="15" hidden="false" customHeight="true" outlineLevel="0" collapsed="false">
      <c r="A83" s="40" t="s">
        <v>421</v>
      </c>
      <c r="B83" s="68" t="n">
        <f aca="false">B72+B73+B74+B75+B76+B77+B78+B79+B80+B81+B82</f>
        <v>684917.32</v>
      </c>
      <c r="C83" s="68" t="n">
        <f aca="false">C72+C73+C74+C75+C76+C77+C78+C79+C80+C81+C82</f>
        <v>13760875.04</v>
      </c>
      <c r="D83" s="68" t="n">
        <f aca="false">D72+D73+D74+D75+D76+D77+D78+D79+D80+D81+D82</f>
        <v>746498.45</v>
      </c>
      <c r="E83" s="68" t="n">
        <f aca="false">E72+E73+E74+E75+E76+E77+E78+E79+E80+E81+E82</f>
        <v>6041054.9</v>
      </c>
    </row>
    <row r="84" customFormat="false" ht="15" hidden="false" customHeight="true" outlineLevel="0" collapsed="false">
      <c r="A84" s="3" t="s">
        <v>701</v>
      </c>
      <c r="B84" s="90" t="n">
        <f aca="false">ROUND(B83-(684917.32),2)</f>
        <v>0</v>
      </c>
      <c r="C84" s="90" t="n">
        <f aca="false">ROUND(C83-(13760875.05),2)</f>
        <v>-0.01</v>
      </c>
      <c r="D84" s="90" t="n">
        <f aca="false">ROUND(D83-(746498.45),2)</f>
        <v>0</v>
      </c>
      <c r="E84" s="90" t="n">
        <f aca="false">ROUND(E83-(6041054.92),2)</f>
        <v>-0.02</v>
      </c>
    </row>
    <row r="85" customFormat="false" ht="15" hidden="false" customHeight="true" outlineLevel="0" collapsed="false">
      <c r="A85" s="10" t="s">
        <v>702</v>
      </c>
      <c r="C85" s="11" t="n">
        <f aca="false">C83/$B$3</f>
        <v>13.76087504</v>
      </c>
      <c r="E85" s="11" t="n">
        <f aca="false">E83/$B$3</f>
        <v>6.0410549</v>
      </c>
    </row>
    <row r="86" customFormat="false" ht="15" hidden="false" customHeight="true" outlineLevel="0" collapsed="false">
      <c r="A86" s="10" t="s">
        <v>703</v>
      </c>
      <c r="C86" s="88" t="n">
        <f aca="false">C83/B18</f>
        <v>0.489339723552016</v>
      </c>
      <c r="E86" s="88" t="n">
        <f aca="false">E83/C18</f>
        <v>0.285205849381426</v>
      </c>
    </row>
    <row r="87" customFormat="false" ht="30" hidden="false" customHeight="true" outlineLevel="0" collapsed="false">
      <c r="A87" s="32" t="s">
        <v>704</v>
      </c>
      <c r="B87" s="32"/>
      <c r="C87" s="32"/>
      <c r="D87" s="32"/>
      <c r="E87" s="32"/>
      <c r="F87" s="32"/>
      <c r="G87" s="32"/>
    </row>
    <row r="88" customFormat="false" ht="30" hidden="false" customHeight="true" outlineLevel="0" collapsed="false">
      <c r="A88" s="32" t="s">
        <v>705</v>
      </c>
      <c r="B88" s="32"/>
      <c r="C88" s="32"/>
      <c r="D88" s="32"/>
      <c r="E88" s="32"/>
      <c r="F88" s="32"/>
      <c r="G88" s="32"/>
    </row>
    <row r="90" customFormat="false" ht="15" hidden="false" customHeight="true" outlineLevel="0" collapsed="false">
      <c r="A90" s="5" t="s">
        <v>706</v>
      </c>
      <c r="B90" s="6"/>
      <c r="C90" s="6"/>
      <c r="D90" s="6"/>
      <c r="E90" s="6"/>
      <c r="F90" s="6"/>
      <c r="G90" s="6"/>
    </row>
    <row r="91" customFormat="false" ht="30" hidden="false" customHeight="true" outlineLevel="0" collapsed="false">
      <c r="A91" s="32" t="s">
        <v>707</v>
      </c>
      <c r="B91" s="32"/>
      <c r="C91" s="32"/>
      <c r="D91" s="32"/>
      <c r="E91" s="32"/>
      <c r="F91" s="32"/>
      <c r="G91" s="32"/>
    </row>
    <row r="93" customFormat="false" ht="15" hidden="false" customHeight="true" outlineLevel="0" collapsed="false">
      <c r="A93" s="5" t="s">
        <v>708</v>
      </c>
      <c r="B93" s="6"/>
      <c r="C93" s="6"/>
      <c r="D93" s="6"/>
      <c r="E93" s="6"/>
      <c r="F93" s="6"/>
      <c r="G93" s="6"/>
    </row>
    <row r="94" customFormat="false" ht="30" hidden="false" customHeight="true" outlineLevel="0" collapsed="false">
      <c r="A94" s="58" t="s">
        <v>709</v>
      </c>
      <c r="B94" s="59" t="s">
        <v>710</v>
      </c>
      <c r="C94" s="59" t="s">
        <v>711</v>
      </c>
      <c r="D94" s="59" t="s">
        <v>712</v>
      </c>
      <c r="E94" s="59" t="s">
        <v>713</v>
      </c>
    </row>
    <row r="95" customFormat="false" ht="15" hidden="false" customHeight="true" outlineLevel="0" collapsed="false">
      <c r="A95" s="7" t="s">
        <v>714</v>
      </c>
      <c r="B95" s="80" t="n">
        <v>2</v>
      </c>
      <c r="C95" s="80" t="n">
        <v>2</v>
      </c>
      <c r="D95" s="80" t="n">
        <v>2</v>
      </c>
      <c r="E95" s="80" t="n">
        <v>2</v>
      </c>
    </row>
    <row r="96" customFormat="false" ht="15" hidden="false" customHeight="true" outlineLevel="0" collapsed="false">
      <c r="A96" s="7" t="s">
        <v>715</v>
      </c>
      <c r="B96" s="80" t="n">
        <v>4</v>
      </c>
      <c r="C96" s="80" t="n">
        <v>4</v>
      </c>
      <c r="D96" s="80" t="n">
        <v>4</v>
      </c>
      <c r="E96" s="80" t="n">
        <v>4</v>
      </c>
    </row>
    <row r="97" customFormat="false" ht="15" hidden="false" customHeight="true" outlineLevel="0" collapsed="false">
      <c r="A97" s="7" t="s">
        <v>716</v>
      </c>
      <c r="B97" s="80" t="n">
        <v>178</v>
      </c>
      <c r="C97" s="80" t="n">
        <v>214</v>
      </c>
      <c r="D97" s="80" t="n">
        <v>265</v>
      </c>
      <c r="E97" s="80" t="n">
        <v>293</v>
      </c>
    </row>
    <row r="98" customFormat="false" ht="15" hidden="false" customHeight="true" outlineLevel="0" collapsed="false">
      <c r="A98" s="7" t="s">
        <v>717</v>
      </c>
      <c r="B98" s="80" t="n">
        <v>8</v>
      </c>
      <c r="C98" s="80" t="n">
        <v>10</v>
      </c>
      <c r="D98" s="80" t="n">
        <v>9</v>
      </c>
      <c r="E98" s="80" t="n">
        <v>9</v>
      </c>
    </row>
    <row r="99" customFormat="false" ht="15" hidden="false" customHeight="true" outlineLevel="0" collapsed="false">
      <c r="A99" s="7" t="s">
        <v>718</v>
      </c>
      <c r="B99" s="80" t="n">
        <v>34</v>
      </c>
      <c r="C99" s="80" t="n">
        <v>30</v>
      </c>
      <c r="D99" s="80" t="n">
        <v>48</v>
      </c>
      <c r="E99" s="80" t="n">
        <v>40</v>
      </c>
    </row>
    <row r="100" customFormat="false" ht="15" hidden="false" customHeight="true" outlineLevel="0" collapsed="false">
      <c r="A100" s="7" t="s">
        <v>719</v>
      </c>
      <c r="B100" s="80" t="n">
        <v>18</v>
      </c>
      <c r="C100" s="80" t="n">
        <v>19</v>
      </c>
      <c r="D100" s="80" t="n">
        <v>20</v>
      </c>
      <c r="E100" s="80" t="n">
        <v>24</v>
      </c>
    </row>
    <row r="101" customFormat="false" ht="15" hidden="false" customHeight="true" outlineLevel="0" collapsed="false">
      <c r="A101" s="7" t="s">
        <v>720</v>
      </c>
      <c r="B101" s="80" t="n">
        <v>24</v>
      </c>
      <c r="C101" s="80" t="n">
        <v>22</v>
      </c>
      <c r="D101" s="80" t="n">
        <v>22</v>
      </c>
      <c r="E101" s="80" t="n">
        <v>26</v>
      </c>
    </row>
    <row r="102" customFormat="false" ht="15" hidden="false" customHeight="true" outlineLevel="0" collapsed="false">
      <c r="A102" s="40" t="s">
        <v>421</v>
      </c>
      <c r="B102" s="92" t="n">
        <f aca="false">B95+B96+B97+B98+B99+B100+B101</f>
        <v>268</v>
      </c>
      <c r="C102" s="92" t="n">
        <f aca="false">C95+C96+C97+C98+C99+C100+C101</f>
        <v>301</v>
      </c>
      <c r="D102" s="92" t="n">
        <f aca="false">D95+D96+D97+D98+D99+D100+D101</f>
        <v>370</v>
      </c>
      <c r="E102" s="92" t="n">
        <f aca="false">E95+E96+E97+E98+E99+E100+E101</f>
        <v>398</v>
      </c>
    </row>
    <row r="103" customFormat="false" ht="15" hidden="false" customHeight="true" outlineLevel="0" collapsed="false">
      <c r="A103" s="3" t="s">
        <v>721</v>
      </c>
      <c r="B103" s="90" t="n">
        <f aca="false">ROUND(B102-(268),2)</f>
        <v>0</v>
      </c>
      <c r="C103" s="90" t="n">
        <f aca="false">ROUND(C102-(301),2)</f>
        <v>0</v>
      </c>
      <c r="D103" s="90" t="n">
        <f aca="false">ROUND(D102-(370),2)</f>
        <v>0</v>
      </c>
      <c r="E103" s="90" t="n">
        <f aca="false">ROUND(E102-(398),2)</f>
        <v>0</v>
      </c>
    </row>
    <row r="104" customFormat="false" ht="30" hidden="false" customHeight="true" outlineLevel="0" collapsed="false">
      <c r="A104" s="32" t="s">
        <v>722</v>
      </c>
      <c r="B104" s="32"/>
      <c r="C104" s="32"/>
      <c r="D104" s="32"/>
      <c r="E104" s="32"/>
      <c r="F104" s="32"/>
      <c r="G104" s="32"/>
    </row>
    <row r="106" customFormat="false" ht="15" hidden="false" customHeight="true" outlineLevel="0" collapsed="false">
      <c r="A106" s="5" t="s">
        <v>723</v>
      </c>
      <c r="B106" s="6"/>
      <c r="C106" s="6"/>
      <c r="D106" s="6"/>
      <c r="E106" s="6"/>
      <c r="F106" s="6"/>
      <c r="G106" s="6"/>
    </row>
    <row r="107" customFormat="false" ht="30" hidden="false" customHeight="true" outlineLevel="0" collapsed="false">
      <c r="A107" s="58" t="s">
        <v>724</v>
      </c>
      <c r="B107" s="59" t="s">
        <v>194</v>
      </c>
      <c r="C107" s="59" t="s">
        <v>195</v>
      </c>
    </row>
    <row r="108" customFormat="false" ht="15" hidden="false" customHeight="true" outlineLevel="0" collapsed="false">
      <c r="A108" s="7" t="s">
        <v>725</v>
      </c>
      <c r="B108" s="26" t="n">
        <v>2490.26</v>
      </c>
      <c r="C108" s="26" t="n">
        <v>254.73</v>
      </c>
    </row>
    <row r="109" customFormat="false" ht="15" hidden="false" customHeight="true" outlineLevel="0" collapsed="false">
      <c r="A109" s="7" t="s">
        <v>726</v>
      </c>
      <c r="B109" s="26" t="n">
        <v>3470515.4</v>
      </c>
      <c r="C109" s="26" t="n">
        <v>1970925.9</v>
      </c>
    </row>
    <row r="110" customFormat="false" ht="15" hidden="false" customHeight="true" outlineLevel="0" collapsed="false">
      <c r="A110" s="7" t="s">
        <v>727</v>
      </c>
      <c r="B110" s="26" t="n">
        <v>2501400</v>
      </c>
      <c r="C110" s="26" t="n">
        <v>1400.01</v>
      </c>
    </row>
    <row r="111" customFormat="false" ht="15" hidden="false" customHeight="true" outlineLevel="0" collapsed="false">
      <c r="A111" s="7" t="s">
        <v>728</v>
      </c>
      <c r="B111" s="26" t="n">
        <v>116251.8</v>
      </c>
      <c r="C111" s="26" t="n">
        <v>815062.77</v>
      </c>
    </row>
    <row r="112" customFormat="false" ht="15" hidden="false" customHeight="true" outlineLevel="0" collapsed="false">
      <c r="A112" s="7" t="s">
        <v>729</v>
      </c>
      <c r="B112" s="26" t="n">
        <v>10461.95</v>
      </c>
      <c r="C112" s="26" t="n">
        <v>99137.86</v>
      </c>
    </row>
    <row r="113" customFormat="false" ht="15" hidden="false" customHeight="true" outlineLevel="0" collapsed="false">
      <c r="A113" s="7" t="s">
        <v>730</v>
      </c>
      <c r="B113" s="26" t="n">
        <v>0</v>
      </c>
      <c r="C113" s="26" t="n">
        <v>4175</v>
      </c>
    </row>
    <row r="114" customFormat="false" ht="15" hidden="false" customHeight="true" outlineLevel="0" collapsed="false">
      <c r="A114" s="7" t="s">
        <v>731</v>
      </c>
      <c r="B114" s="26" t="n">
        <v>59251.89</v>
      </c>
      <c r="C114" s="26" t="n">
        <v>0</v>
      </c>
    </row>
    <row r="115" customFormat="false" ht="15" hidden="false" customHeight="true" outlineLevel="0" collapsed="false">
      <c r="A115" s="7" t="s">
        <v>732</v>
      </c>
      <c r="B115" s="26" t="n">
        <v>937.94</v>
      </c>
      <c r="C115" s="26" t="n">
        <v>3271913.17</v>
      </c>
    </row>
    <row r="116" customFormat="false" ht="15" hidden="false" customHeight="true" outlineLevel="0" collapsed="false">
      <c r="A116" s="7" t="s">
        <v>733</v>
      </c>
      <c r="B116" s="26" t="n">
        <v>11945.65</v>
      </c>
      <c r="C116" s="26" t="n">
        <v>146082.08</v>
      </c>
    </row>
    <row r="117" customFormat="false" ht="15" hidden="false" customHeight="true" outlineLevel="0" collapsed="false">
      <c r="A117" s="40" t="s">
        <v>734</v>
      </c>
      <c r="B117" s="66" t="n">
        <f aca="false">B108+B109+B110+B111+B112+B113+B114+B115+B116</f>
        <v>6173254.89</v>
      </c>
      <c r="C117" s="66" t="n">
        <f aca="false">C108+C109+C110+C111+C112+C113+C114+C115+C116</f>
        <v>6308951.52</v>
      </c>
    </row>
    <row r="118" customFormat="false" ht="15" hidden="false" customHeight="true" outlineLevel="0" collapsed="false">
      <c r="A118" s="3" t="s">
        <v>735</v>
      </c>
      <c r="B118" s="90" t="n">
        <f aca="false">ROUND(B117-(6173254.89),2)</f>
        <v>0</v>
      </c>
      <c r="C118" s="90" t="n">
        <f aca="false">ROUND(C117-(6308951.52),2)</f>
        <v>0</v>
      </c>
    </row>
    <row r="119" customFormat="false" ht="30" hidden="false" customHeight="true" outlineLevel="0" collapsed="false">
      <c r="A119" s="58" t="s">
        <v>736</v>
      </c>
      <c r="B119" s="59" t="s">
        <v>194</v>
      </c>
      <c r="C119" s="59" t="s">
        <v>195</v>
      </c>
    </row>
    <row r="120" customFormat="false" ht="15" hidden="false" customHeight="true" outlineLevel="0" collapsed="false">
      <c r="A120" s="7" t="s">
        <v>737</v>
      </c>
      <c r="B120" s="26" t="n">
        <v>98187933.9</v>
      </c>
      <c r="C120" s="26" t="n">
        <v>30469543.05</v>
      </c>
    </row>
    <row r="121" customFormat="false" ht="15" hidden="false" customHeight="true" outlineLevel="0" collapsed="false">
      <c r="A121" s="7" t="s">
        <v>731</v>
      </c>
      <c r="B121" s="26" t="n">
        <v>0</v>
      </c>
      <c r="C121" s="26" t="n">
        <v>5191</v>
      </c>
    </row>
    <row r="122" customFormat="false" ht="15" hidden="false" customHeight="true" outlineLevel="0" collapsed="false">
      <c r="A122" s="7" t="s">
        <v>738</v>
      </c>
      <c r="B122" s="26" t="n">
        <v>3000</v>
      </c>
      <c r="C122" s="26" t="n">
        <v>8570.4</v>
      </c>
    </row>
    <row r="123" customFormat="false" ht="15" hidden="false" customHeight="true" outlineLevel="0" collapsed="false">
      <c r="A123" s="7" t="s">
        <v>739</v>
      </c>
      <c r="B123" s="26" t="n">
        <v>1000</v>
      </c>
      <c r="C123" s="26" t="n">
        <v>0</v>
      </c>
    </row>
    <row r="124" customFormat="false" ht="15" hidden="false" customHeight="true" outlineLevel="0" collapsed="false">
      <c r="A124" s="7" t="s">
        <v>732</v>
      </c>
      <c r="B124" s="26" t="n">
        <v>720301.01</v>
      </c>
      <c r="C124" s="26" t="n">
        <v>1744522.68</v>
      </c>
    </row>
    <row r="125" customFormat="false" ht="15" hidden="false" customHeight="true" outlineLevel="0" collapsed="false">
      <c r="A125" s="7" t="s">
        <v>736</v>
      </c>
      <c r="B125" s="26" t="n">
        <v>1022.37</v>
      </c>
      <c r="C125" s="26" t="n">
        <v>506958.18</v>
      </c>
    </row>
    <row r="126" customFormat="false" ht="15" hidden="false" customHeight="true" outlineLevel="0" collapsed="false">
      <c r="A126" s="40" t="s">
        <v>740</v>
      </c>
      <c r="B126" s="66" t="n">
        <f aca="false">B120+B121+B122+B123+B124+B125</f>
        <v>98913257.28</v>
      </c>
      <c r="C126" s="66" t="n">
        <f aca="false">C120+C121+C122+C123+C124+C125</f>
        <v>32734785.31</v>
      </c>
    </row>
    <row r="127" customFormat="false" ht="15" hidden="false" customHeight="true" outlineLevel="0" collapsed="false">
      <c r="A127" s="3" t="s">
        <v>741</v>
      </c>
      <c r="B127" s="90" t="n">
        <f aca="false">ROUND(B126-(98913257.28),2)</f>
        <v>0</v>
      </c>
      <c r="C127" s="90" t="n">
        <f aca="false">ROUND(C126-(32734785.31),2)</f>
        <v>0</v>
      </c>
    </row>
    <row r="129" customFormat="false" ht="15" hidden="false" customHeight="true" outlineLevel="0" collapsed="false">
      <c r="A129" s="5" t="s">
        <v>742</v>
      </c>
      <c r="B129" s="6"/>
      <c r="C129" s="6"/>
      <c r="D129" s="6"/>
      <c r="E129" s="6"/>
      <c r="F129" s="6"/>
      <c r="G129" s="6"/>
    </row>
    <row r="130" customFormat="false" ht="30" hidden="false" customHeight="true" outlineLevel="0" collapsed="false">
      <c r="A130" s="58" t="s">
        <v>743</v>
      </c>
      <c r="B130" s="59" t="s">
        <v>194</v>
      </c>
      <c r="C130" s="59" t="s">
        <v>195</v>
      </c>
      <c r="D130" s="59" t="s">
        <v>196</v>
      </c>
      <c r="E130" s="59" t="s">
        <v>197</v>
      </c>
    </row>
    <row r="131" customFormat="false" ht="15" hidden="false" customHeight="true" outlineLevel="0" collapsed="false">
      <c r="A131" s="7" t="s">
        <v>744</v>
      </c>
      <c r="B131" s="54" t="n">
        <f aca="false">B120-B109</f>
        <v>94717418.5</v>
      </c>
      <c r="C131" s="54" t="n">
        <f aca="false">C120-C109</f>
        <v>28498617.15</v>
      </c>
      <c r="D131" s="65" t="n">
        <f aca="false">B131/$B$3</f>
        <v>94.7174185</v>
      </c>
      <c r="E131" s="65" t="n">
        <f aca="false">C131/$B$3</f>
        <v>28.49861715</v>
      </c>
    </row>
    <row r="132" customFormat="false" ht="15" hidden="false" customHeight="true" outlineLevel="0" collapsed="false">
      <c r="A132" s="7" t="s">
        <v>745</v>
      </c>
      <c r="B132" s="54" t="n">
        <f aca="false">B122-B108</f>
        <v>509.74</v>
      </c>
      <c r="C132" s="54" t="n">
        <f aca="false">C122-C108</f>
        <v>8315.67</v>
      </c>
      <c r="D132" s="65" t="n">
        <f aca="false">B132/$B$3</f>
        <v>0.00050974</v>
      </c>
      <c r="E132" s="65" t="n">
        <f aca="false">C132/$B$3</f>
        <v>0.00831567</v>
      </c>
    </row>
    <row r="133" customFormat="false" ht="15" hidden="false" customHeight="true" outlineLevel="0" collapsed="false">
      <c r="A133" s="7" t="s">
        <v>746</v>
      </c>
      <c r="B133" s="54" t="n">
        <f aca="false">-B110</f>
        <v>-2501400</v>
      </c>
      <c r="C133" s="54" t="n">
        <f aca="false">-C110</f>
        <v>-1400.01</v>
      </c>
      <c r="D133" s="65" t="n">
        <f aca="false">B133/$B$3</f>
        <v>-2.5014</v>
      </c>
      <c r="E133" s="65" t="n">
        <f aca="false">C133/$B$3</f>
        <v>-0.00140001</v>
      </c>
    </row>
    <row r="134" customFormat="false" ht="15" hidden="false" customHeight="true" outlineLevel="0" collapsed="false">
      <c r="A134" s="7" t="s">
        <v>747</v>
      </c>
      <c r="B134" s="54" t="n">
        <f aca="false">B124-B115</f>
        <v>719363.07</v>
      </c>
      <c r="C134" s="54" t="n">
        <f aca="false">C124-C115</f>
        <v>-1527390.49</v>
      </c>
      <c r="D134" s="65" t="n">
        <f aca="false">B134/$B$3</f>
        <v>0.71936307</v>
      </c>
      <c r="E134" s="65" t="n">
        <f aca="false">C134/$B$3</f>
        <v>-1.52739049</v>
      </c>
    </row>
    <row r="135" customFormat="false" ht="15" hidden="false" customHeight="true" outlineLevel="0" collapsed="false">
      <c r="A135" s="7" t="s">
        <v>748</v>
      </c>
      <c r="B135" s="54" t="n">
        <f aca="false">B121+B123+B125-B111-B112-B113-B114-B116</f>
        <v>-195888.92</v>
      </c>
      <c r="C135" s="54" t="n">
        <f aca="false">C121+C123+C125-C111-C112-C113-C114-C116</f>
        <v>-552308.53</v>
      </c>
      <c r="D135" s="65" t="n">
        <f aca="false">B135/$B$3</f>
        <v>-0.19588892</v>
      </c>
      <c r="E135" s="65" t="n">
        <f aca="false">C135/$B$3</f>
        <v>-0.55230853</v>
      </c>
    </row>
    <row r="136" customFormat="false" ht="15" hidden="false" customHeight="true" outlineLevel="0" collapsed="false">
      <c r="A136" s="7" t="s">
        <v>749</v>
      </c>
      <c r="B136" s="26" t="n">
        <v>0</v>
      </c>
      <c r="C136" s="26" t="n">
        <v>0</v>
      </c>
      <c r="D136" s="65" t="n">
        <f aca="false">B136/$B$3</f>
        <v>0</v>
      </c>
      <c r="E136" s="65" t="n">
        <f aca="false">C136/$B$3</f>
        <v>0</v>
      </c>
    </row>
    <row r="137" customFormat="false" ht="15" hidden="false" customHeight="true" outlineLevel="0" collapsed="false">
      <c r="A137" s="40" t="s">
        <v>750</v>
      </c>
      <c r="B137" s="68" t="n">
        <f aca="false">B131+B132+B133+B134+B135+B136</f>
        <v>92740002.39</v>
      </c>
      <c r="C137" s="68" t="n">
        <f aca="false">C131+C132+C133+C134+C135+C136</f>
        <v>26425833.79</v>
      </c>
      <c r="D137" s="11" t="n">
        <f aca="false">B137/$B$3</f>
        <v>92.74000239</v>
      </c>
      <c r="E137" s="11" t="n">
        <f aca="false">C137/$B$3</f>
        <v>26.42583379</v>
      </c>
    </row>
    <row r="138" customFormat="false" ht="15" hidden="false" customHeight="true" outlineLevel="0" collapsed="false">
      <c r="A138" s="12" t="s">
        <v>751</v>
      </c>
      <c r="B138" s="61" t="n">
        <f aca="false">PyG!C28</f>
        <v>92740002.39</v>
      </c>
      <c r="C138" s="61" t="n">
        <f aca="false">PyG!D28</f>
        <v>26425833.79</v>
      </c>
      <c r="D138" s="65" t="n">
        <f aca="false">B138/$B$3</f>
        <v>92.74000239</v>
      </c>
      <c r="E138" s="65" t="n">
        <f aca="false">C138/$B$3</f>
        <v>26.42583379</v>
      </c>
    </row>
    <row r="139" customFormat="false" ht="15" hidden="false" customHeight="true" outlineLevel="0" collapsed="false">
      <c r="A139" s="10" t="s">
        <v>592</v>
      </c>
      <c r="B139" s="27" t="n">
        <f aca="false">ROUND(B137-B138,2)</f>
        <v>0</v>
      </c>
      <c r="C139" s="27" t="n">
        <f aca="false">ROUND(C137-C138,2)</f>
        <v>0</v>
      </c>
    </row>
    <row r="140" customFormat="false" ht="15" hidden="false" customHeight="true" outlineLevel="0" collapsed="false">
      <c r="A140" s="12" t="s">
        <v>752</v>
      </c>
      <c r="B140" s="30" t="n">
        <f aca="false">ROUND(B131-(Nota7!B60+Nota7!B63+Nota7!B61+Nota7!B62),2)</f>
        <v>0.33</v>
      </c>
      <c r="C140" s="30" t="n">
        <f aca="false">ROUND(C131-(Nota7!C60+Nota7!C63+Nota7!C61+Nota7!C62),2)</f>
        <v>0.01</v>
      </c>
      <c r="D140" s="1" t="s">
        <v>753</v>
      </c>
    </row>
    <row r="141" customFormat="false" ht="30" hidden="false" customHeight="true" outlineLevel="0" collapsed="false">
      <c r="A141" s="32" t="s">
        <v>754</v>
      </c>
      <c r="B141" s="32"/>
      <c r="C141" s="32"/>
      <c r="D141" s="32"/>
      <c r="E141" s="32"/>
      <c r="F141" s="32"/>
      <c r="G141" s="32"/>
    </row>
    <row r="142" customFormat="false" ht="30" hidden="false" customHeight="true" outlineLevel="0" collapsed="false">
      <c r="A142" s="32" t="s">
        <v>755</v>
      </c>
      <c r="B142" s="32"/>
      <c r="C142" s="32"/>
      <c r="D142" s="32"/>
      <c r="E142" s="32"/>
      <c r="F142" s="32"/>
      <c r="G142" s="32"/>
    </row>
    <row r="144" customFormat="false" ht="15" hidden="false" customHeight="true" outlineLevel="0" collapsed="false">
      <c r="A144" s="5" t="s">
        <v>756</v>
      </c>
      <c r="B144" s="6"/>
      <c r="C144" s="6"/>
      <c r="D144" s="6"/>
      <c r="E144" s="6"/>
      <c r="F144" s="6"/>
      <c r="G144" s="6"/>
    </row>
    <row r="145" customFormat="false" ht="30" hidden="false" customHeight="true" outlineLevel="0" collapsed="false">
      <c r="A145" s="58" t="s">
        <v>2</v>
      </c>
      <c r="B145" s="59" t="s">
        <v>194</v>
      </c>
      <c r="C145" s="59" t="s">
        <v>195</v>
      </c>
    </row>
    <row r="146" customFormat="false" ht="15" hidden="false" customHeight="true" outlineLevel="0" collapsed="false">
      <c r="A146" s="7" t="s">
        <v>757</v>
      </c>
      <c r="B146" s="26" t="n">
        <v>120314.54</v>
      </c>
      <c r="C146" s="26" t="n">
        <v>114417.25</v>
      </c>
    </row>
    <row r="147" customFormat="false" ht="15" hidden="false" customHeight="true" outlineLevel="0" collapsed="false">
      <c r="A147" s="7" t="s">
        <v>758</v>
      </c>
      <c r="B147" s="26" t="n">
        <v>359738.73</v>
      </c>
      <c r="C147" s="26" t="n">
        <v>351875.77</v>
      </c>
    </row>
    <row r="148" customFormat="false" ht="15" hidden="false" customHeight="true" outlineLevel="0" collapsed="false">
      <c r="A148" s="7" t="s">
        <v>759</v>
      </c>
      <c r="B148" s="26" t="n">
        <v>2093739.33</v>
      </c>
      <c r="C148" s="26" t="n">
        <v>1806592.24</v>
      </c>
    </row>
    <row r="149" customFormat="false" ht="15" hidden="false" customHeight="true" outlineLevel="0" collapsed="false">
      <c r="A149" s="7" t="s">
        <v>760</v>
      </c>
      <c r="B149" s="26" t="n">
        <v>3751019.03</v>
      </c>
      <c r="C149" s="26" t="n">
        <v>5030814.64</v>
      </c>
    </row>
    <row r="150" customFormat="false" ht="15" hidden="false" customHeight="true" outlineLevel="0" collapsed="false">
      <c r="A150" s="7" t="s">
        <v>761</v>
      </c>
      <c r="B150" s="26" t="n">
        <v>319318.45</v>
      </c>
      <c r="C150" s="26" t="n">
        <v>307730.2</v>
      </c>
    </row>
    <row r="151" customFormat="false" ht="15" hidden="false" customHeight="true" outlineLevel="0" collapsed="false">
      <c r="A151" s="7" t="s">
        <v>762</v>
      </c>
      <c r="B151" s="26" t="n">
        <v>95436.43</v>
      </c>
      <c r="C151" s="26" t="n">
        <v>84964</v>
      </c>
    </row>
    <row r="152" customFormat="false" ht="15" hidden="false" customHeight="true" outlineLevel="0" collapsed="false">
      <c r="A152" s="7" t="s">
        <v>763</v>
      </c>
      <c r="B152" s="26" t="n">
        <v>2096229.17</v>
      </c>
      <c r="C152" s="26" t="n">
        <v>2026929.84</v>
      </c>
    </row>
    <row r="153" customFormat="false" ht="15" hidden="false" customHeight="true" outlineLevel="0" collapsed="false">
      <c r="A153" s="7" t="s">
        <v>764</v>
      </c>
      <c r="B153" s="26" t="n">
        <v>533241.3</v>
      </c>
      <c r="C153" s="26" t="n">
        <v>450459.25</v>
      </c>
    </row>
    <row r="154" customFormat="false" ht="15" hidden="false" customHeight="true" outlineLevel="0" collapsed="false">
      <c r="A154" s="7" t="s">
        <v>765</v>
      </c>
      <c r="B154" s="26" t="n">
        <v>9986564.57</v>
      </c>
      <c r="C154" s="26" t="n">
        <v>11389654.32</v>
      </c>
    </row>
    <row r="155" customFormat="false" ht="15" hidden="false" customHeight="true" outlineLevel="0" collapsed="false">
      <c r="A155" s="40" t="s">
        <v>766</v>
      </c>
      <c r="B155" s="66" t="n">
        <f aca="false">B146+B147+B148+B149+B150+B151+B152+B153+B154</f>
        <v>19355601.55</v>
      </c>
      <c r="C155" s="66" t="n">
        <f aca="false">C146+C147+C148+C149+C150+C151+C152+C153+C154</f>
        <v>21563437.51</v>
      </c>
    </row>
    <row r="156" customFormat="false" ht="15" hidden="false" customHeight="true" outlineLevel="0" collapsed="false">
      <c r="A156" s="3" t="s">
        <v>767</v>
      </c>
      <c r="B156" s="90" t="n">
        <f aca="false">ROUND(B155-(19355601.55),2)</f>
        <v>0</v>
      </c>
      <c r="C156" s="90" t="n">
        <f aca="false">ROUND(C155-(21563437.51),2)</f>
        <v>0</v>
      </c>
    </row>
    <row r="158" customFormat="false" ht="15" hidden="false" customHeight="true" outlineLevel="0" collapsed="false">
      <c r="A158" s="5" t="s">
        <v>768</v>
      </c>
      <c r="B158" s="6"/>
      <c r="C158" s="6"/>
      <c r="D158" s="6"/>
      <c r="E158" s="6"/>
      <c r="F158" s="6"/>
      <c r="G158" s="6"/>
    </row>
    <row r="159" customFormat="false" ht="30" hidden="false" customHeight="true" outlineLevel="0" collapsed="false">
      <c r="A159" s="58" t="s">
        <v>2</v>
      </c>
      <c r="B159" s="59" t="s">
        <v>194</v>
      </c>
      <c r="C159" s="59" t="s">
        <v>195</v>
      </c>
    </row>
    <row r="160" customFormat="false" ht="15" hidden="false" customHeight="true" outlineLevel="0" collapsed="false">
      <c r="A160" s="7" t="s">
        <v>758</v>
      </c>
      <c r="B160" s="26" t="n">
        <v>121070.47</v>
      </c>
      <c r="C160" s="26" t="n">
        <v>67809.1</v>
      </c>
    </row>
    <row r="161" customFormat="false" ht="15" hidden="false" customHeight="true" outlineLevel="0" collapsed="false">
      <c r="A161" s="7" t="s">
        <v>769</v>
      </c>
      <c r="B161" s="26" t="n">
        <v>1037250</v>
      </c>
      <c r="C161" s="26" t="n">
        <v>3025000</v>
      </c>
    </row>
    <row r="162" customFormat="false" ht="15" hidden="false" customHeight="true" outlineLevel="0" collapsed="false">
      <c r="A162" s="7" t="s">
        <v>770</v>
      </c>
      <c r="B162" s="26" t="n">
        <v>0</v>
      </c>
      <c r="C162" s="26" t="n">
        <v>0</v>
      </c>
    </row>
    <row r="163" customFormat="false" ht="15" hidden="false" customHeight="true" outlineLevel="0" collapsed="false">
      <c r="A163" s="7" t="s">
        <v>771</v>
      </c>
      <c r="B163" s="26" t="n">
        <v>1799815.17</v>
      </c>
      <c r="C163" s="26" t="n">
        <v>1989717.93</v>
      </c>
    </row>
    <row r="164" customFormat="false" ht="15" hidden="false" customHeight="true" outlineLevel="0" collapsed="false">
      <c r="A164" s="7" t="s">
        <v>772</v>
      </c>
      <c r="B164" s="26" t="n">
        <v>1499520.32</v>
      </c>
      <c r="C164" s="26" t="n">
        <v>1307246.88</v>
      </c>
    </row>
    <row r="165" customFormat="false" ht="15" hidden="false" customHeight="true" outlineLevel="0" collapsed="false">
      <c r="A165" s="7" t="s">
        <v>773</v>
      </c>
      <c r="B165" s="26" t="n">
        <v>463501.62</v>
      </c>
      <c r="C165" s="26" t="n">
        <v>425879.79</v>
      </c>
    </row>
    <row r="166" customFormat="false" ht="15" hidden="false" customHeight="true" outlineLevel="0" collapsed="false">
      <c r="A166" s="7" t="s">
        <v>774</v>
      </c>
      <c r="B166" s="26" t="n">
        <v>59940.73</v>
      </c>
      <c r="C166" s="26" t="n">
        <v>1250000</v>
      </c>
    </row>
    <row r="167" customFormat="false" ht="15" hidden="false" customHeight="true" outlineLevel="0" collapsed="false">
      <c r="A167" s="40" t="s">
        <v>775</v>
      </c>
      <c r="B167" s="66" t="n">
        <f aca="false">B160+B161+B162+B163+B164+B165+B166</f>
        <v>4981098.31</v>
      </c>
      <c r="C167" s="66" t="n">
        <f aca="false">C160+C161+C162+C163+C164+C165+C166</f>
        <v>8065653.7</v>
      </c>
    </row>
    <row r="168" customFormat="false" ht="15" hidden="false" customHeight="true" outlineLevel="0" collapsed="false">
      <c r="A168" s="3" t="s">
        <v>776</v>
      </c>
      <c r="B168" s="90" t="n">
        <f aca="false">ROUND(B167-(4981098.31),2)</f>
        <v>0</v>
      </c>
      <c r="C168" s="90" t="n">
        <f aca="false">ROUND(C167-(8065653.7),2)</f>
        <v>0</v>
      </c>
    </row>
    <row r="169" customFormat="false" ht="30" hidden="false" customHeight="true" outlineLevel="0" collapsed="false">
      <c r="A169" s="32" t="s">
        <v>777</v>
      </c>
      <c r="B169" s="32"/>
      <c r="C169" s="32"/>
      <c r="D169" s="32"/>
      <c r="E169" s="32"/>
      <c r="F169" s="32"/>
      <c r="G169" s="32"/>
    </row>
    <row r="170" customFormat="false" ht="30" hidden="false" customHeight="true" outlineLevel="0" collapsed="false">
      <c r="A170" s="32" t="s">
        <v>778</v>
      </c>
      <c r="B170" s="32"/>
      <c r="C170" s="32"/>
      <c r="D170" s="32"/>
      <c r="E170" s="32"/>
      <c r="F170" s="32"/>
      <c r="G170" s="32"/>
    </row>
    <row r="172" customFormat="false" ht="15" hidden="false" customHeight="true" outlineLevel="0" collapsed="false">
      <c r="A172" s="5" t="s">
        <v>779</v>
      </c>
      <c r="B172" s="6"/>
      <c r="C172" s="6"/>
      <c r="D172" s="6"/>
      <c r="E172" s="6"/>
      <c r="F172" s="6"/>
      <c r="G172" s="6"/>
    </row>
    <row r="173" customFormat="false" ht="15" hidden="false" customHeight="true" outlineLevel="0" collapsed="false">
      <c r="A173" s="12" t="s">
        <v>780</v>
      </c>
      <c r="B173" s="93" t="n">
        <v>389299.99</v>
      </c>
      <c r="C173" s="93" t="n">
        <v>475700</v>
      </c>
    </row>
    <row r="174" customFormat="false" ht="27.75" hidden="false" customHeight="true" outlineLevel="0" collapsed="false">
      <c r="A174" s="31" t="s">
        <v>781</v>
      </c>
      <c r="B174" s="31"/>
      <c r="C174" s="31"/>
      <c r="D174" s="31"/>
      <c r="E174" s="31"/>
      <c r="F174" s="31"/>
      <c r="G174" s="31"/>
    </row>
    <row r="175" customFormat="false" ht="27.75" hidden="false" customHeight="true" outlineLevel="0" collapsed="false">
      <c r="A175" s="32" t="s">
        <v>782</v>
      </c>
      <c r="B175" s="32"/>
      <c r="C175" s="32"/>
      <c r="D175" s="32"/>
      <c r="E175" s="32"/>
      <c r="F175" s="32"/>
      <c r="G175" s="32"/>
    </row>
    <row r="176" customFormat="false" ht="27.75" hidden="false" customHeight="true" outlineLevel="0" collapsed="false">
      <c r="A176" s="32" t="s">
        <v>783</v>
      </c>
      <c r="B176" s="32"/>
      <c r="C176" s="32"/>
      <c r="D176" s="32"/>
      <c r="E176" s="32"/>
      <c r="F176" s="32"/>
      <c r="G176" s="32"/>
    </row>
    <row r="177" customFormat="false" ht="27.75" hidden="false" customHeight="true" outlineLevel="0" collapsed="false">
      <c r="A177" s="32" t="s">
        <v>784</v>
      </c>
      <c r="B177" s="32"/>
      <c r="C177" s="32"/>
      <c r="D177" s="32"/>
      <c r="E177" s="32"/>
      <c r="F177" s="32"/>
      <c r="G177" s="32"/>
    </row>
    <row r="178" customFormat="false" ht="27.75" hidden="false" customHeight="true" outlineLevel="0" collapsed="false">
      <c r="A178" s="31" t="s">
        <v>785</v>
      </c>
      <c r="B178" s="31"/>
      <c r="C178" s="31"/>
      <c r="D178" s="31"/>
      <c r="E178" s="31"/>
      <c r="F178" s="31"/>
      <c r="G178" s="31"/>
    </row>
    <row r="180" customFormat="false" ht="15" hidden="false" customHeight="true" outlineLevel="0" collapsed="false">
      <c r="A180" s="5" t="s">
        <v>786</v>
      </c>
      <c r="B180" s="6"/>
      <c r="C180" s="6"/>
      <c r="D180" s="6"/>
      <c r="E180" s="6"/>
      <c r="F180" s="6"/>
      <c r="G180" s="6"/>
    </row>
    <row r="181" customFormat="false" ht="15" hidden="false" customHeight="true" outlineLevel="0" collapsed="false">
      <c r="A181" s="12" t="s">
        <v>787</v>
      </c>
      <c r="B181" s="94" t="n">
        <f aca="false">C80</f>
        <v>13721489.56</v>
      </c>
    </row>
    <row r="182" customFormat="false" ht="15" hidden="false" customHeight="true" outlineLevel="0" collapsed="false">
      <c r="A182" s="12" t="s">
        <v>788</v>
      </c>
      <c r="B182" s="95" t="n">
        <v>2500000</v>
      </c>
    </row>
    <row r="183" customFormat="false" ht="15" hidden="false" customHeight="true" outlineLevel="0" collapsed="false">
      <c r="A183" s="10" t="s">
        <v>789</v>
      </c>
      <c r="B183" s="96" t="n">
        <f aca="false">B181-B182</f>
        <v>11221489.56</v>
      </c>
    </row>
    <row r="184" customFormat="false" ht="30" hidden="false" customHeight="true" outlineLevel="0" collapsed="false">
      <c r="A184" s="32" t="s">
        <v>790</v>
      </c>
      <c r="B184" s="32"/>
      <c r="C184" s="32"/>
      <c r="D184" s="32"/>
      <c r="E184" s="32"/>
      <c r="F184" s="32"/>
      <c r="G184" s="32"/>
    </row>
    <row r="185" customFormat="false" ht="30" hidden="false" customHeight="true" outlineLevel="0" collapsed="false">
      <c r="A185" s="31" t="s">
        <v>791</v>
      </c>
      <c r="B185" s="31"/>
      <c r="C185" s="31"/>
      <c r="D185" s="31"/>
      <c r="E185" s="31"/>
      <c r="F185" s="31"/>
      <c r="G185" s="31"/>
    </row>
  </sheetData>
  <mergeCells count="20">
    <mergeCell ref="A23:G23"/>
    <mergeCell ref="A24:G24"/>
    <mergeCell ref="A57:G57"/>
    <mergeCell ref="A58:G58"/>
    <mergeCell ref="A61:G61"/>
    <mergeCell ref="A87:G87"/>
    <mergeCell ref="A88:G88"/>
    <mergeCell ref="A91:G91"/>
    <mergeCell ref="A104:G104"/>
    <mergeCell ref="A141:G141"/>
    <mergeCell ref="A142:G142"/>
    <mergeCell ref="A169:G169"/>
    <mergeCell ref="A170:G170"/>
    <mergeCell ref="A174:G174"/>
    <mergeCell ref="A175:G175"/>
    <mergeCell ref="A176:G176"/>
    <mergeCell ref="A177:G177"/>
    <mergeCell ref="A178:G178"/>
    <mergeCell ref="A184:G184"/>
    <mergeCell ref="A185:G18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4"/>
    <col collapsed="false" customWidth="true" hidden="false" outlineLevel="0" max="5" min="2" style="1" width="17"/>
    <col collapsed="false" customWidth="true" hidden="false" outlineLevel="0" max="6" min="6" style="1" width="30"/>
  </cols>
  <sheetData>
    <row r="1" customFormat="false" ht="17.25" hidden="false" customHeight="true" outlineLevel="0" collapsed="false">
      <c r="A1" s="2" t="s">
        <v>792</v>
      </c>
    </row>
    <row r="2" customFormat="false" ht="15" hidden="false" customHeight="true" outlineLevel="0" collapsed="false">
      <c r="A2" s="3" t="s">
        <v>793</v>
      </c>
    </row>
    <row r="3" customFormat="false" ht="15" hidden="false" customHeight="true" outlineLevel="0" collapsed="false">
      <c r="A3" s="10" t="s">
        <v>329</v>
      </c>
      <c r="B3" s="57" t="n">
        <f aca="false">Balance!$B$3</f>
        <v>1000000</v>
      </c>
      <c r="D3" s="10" t="s">
        <v>794</v>
      </c>
      <c r="F3" s="85" t="str">
        <f aca="false">IF(AND(ABS(B21)&lt;=0.05,ABS(C21)&lt;=0.05,ABS(B25)&lt;=0.05,ABS(C25)&lt;=0.05,ABS(B40)&lt;=0.05,ABS(C40)&lt;=0.05,ABS(B50)&lt;=0.05,ABS(C50)&lt;=0.05,ABS(B51)&lt;=0.05,ABS(C51)&lt;=0.05,ABS(B52)&lt;=0.05,ABS(C52)&lt;=0.05,ABS(B61)&lt;=0.05,ABS(C61)&lt;=0.05,ABS(B83)&lt;=1.5,ABS(B99)&lt;=1,ABS(B110)&lt;=1,ABS(B122)&lt;=1,ABS(B126)&lt;=1,ABS(B146)&lt;=1.5,ABS(C146)&lt;=1.5,ABS(B156)&lt;=1.5,ABS(C156)&lt;=1.5),"OK","REVISAR")</f>
        <v>OK</v>
      </c>
    </row>
    <row r="5" customFormat="false" ht="15" hidden="false" customHeight="true" outlineLevel="0" collapsed="false">
      <c r="A5" s="5" t="s">
        <v>795</v>
      </c>
      <c r="B5" s="6"/>
      <c r="C5" s="6"/>
      <c r="D5" s="6"/>
      <c r="E5" s="6"/>
      <c r="F5" s="6"/>
    </row>
    <row r="6" customFormat="false" ht="30" hidden="false" customHeight="true" outlineLevel="0" collapsed="false">
      <c r="A6" s="32" t="s">
        <v>796</v>
      </c>
      <c r="B6" s="32"/>
      <c r="C6" s="32"/>
      <c r="D6" s="32"/>
      <c r="E6" s="32"/>
      <c r="F6" s="32"/>
    </row>
    <row r="8" customFormat="false" ht="15" hidden="false" customHeight="true" outlineLevel="0" collapsed="false">
      <c r="A8" s="5" t="s">
        <v>797</v>
      </c>
      <c r="B8" s="6"/>
      <c r="C8" s="6"/>
      <c r="D8" s="6"/>
      <c r="E8" s="6"/>
      <c r="F8" s="6"/>
    </row>
    <row r="9" customFormat="false" ht="18" hidden="false" customHeight="true" outlineLevel="0" collapsed="false">
      <c r="A9" s="31" t="s">
        <v>798</v>
      </c>
      <c r="B9" s="31"/>
      <c r="C9" s="31"/>
      <c r="D9" s="31"/>
      <c r="E9" s="31"/>
      <c r="F9" s="31"/>
    </row>
    <row r="10" customFormat="false" ht="30" hidden="false" customHeight="true" outlineLevel="0" collapsed="false">
      <c r="A10" s="58" t="s">
        <v>799</v>
      </c>
      <c r="B10" s="59" t="s">
        <v>194</v>
      </c>
      <c r="C10" s="59" t="s">
        <v>195</v>
      </c>
      <c r="D10" s="59" t="s">
        <v>196</v>
      </c>
      <c r="E10" s="59" t="s">
        <v>197</v>
      </c>
    </row>
    <row r="11" customFormat="false" ht="15" hidden="false" customHeight="true" outlineLevel="0" collapsed="false">
      <c r="A11" s="79" t="s">
        <v>800</v>
      </c>
      <c r="B11" s="26" t="n">
        <v>6429517.84</v>
      </c>
      <c r="C11" s="26" t="n">
        <v>6833544.37</v>
      </c>
      <c r="D11" s="84" t="n">
        <f aca="false">B11/$B$3</f>
        <v>6.42951784</v>
      </c>
      <c r="E11" s="84" t="n">
        <f aca="false">C11/$B$3</f>
        <v>6.83354437</v>
      </c>
    </row>
    <row r="12" customFormat="false" ht="15" hidden="false" customHeight="true" outlineLevel="0" collapsed="false">
      <c r="A12" s="79" t="s">
        <v>801</v>
      </c>
      <c r="B12" s="26" t="n">
        <v>28132945.14</v>
      </c>
      <c r="C12" s="26" t="n">
        <v>21793754.52</v>
      </c>
      <c r="D12" s="84" t="n">
        <f aca="false">B12/$B$3</f>
        <v>28.13294514</v>
      </c>
      <c r="E12" s="84" t="n">
        <f aca="false">C12/$B$3</f>
        <v>21.79375452</v>
      </c>
    </row>
    <row r="13" customFormat="false" ht="15" hidden="false" customHeight="true" outlineLevel="0" collapsed="false">
      <c r="A13" s="79" t="s">
        <v>802</v>
      </c>
      <c r="B13" s="26" t="n">
        <v>58263045.41</v>
      </c>
      <c r="C13" s="26" t="n">
        <v>69584073.35</v>
      </c>
      <c r="D13" s="84" t="n">
        <f aca="false">B13/$B$3</f>
        <v>58.26304541</v>
      </c>
      <c r="E13" s="84" t="n">
        <f aca="false">C13/$B$3</f>
        <v>69.58407335</v>
      </c>
    </row>
    <row r="14" customFormat="false" ht="15" hidden="false" customHeight="true" outlineLevel="0" collapsed="false">
      <c r="A14" s="79" t="s">
        <v>803</v>
      </c>
      <c r="B14" s="26" t="n">
        <v>1620590.79</v>
      </c>
      <c r="C14" s="26" t="n">
        <v>1375055.98</v>
      </c>
      <c r="D14" s="84" t="n">
        <f aca="false">B14/$B$3</f>
        <v>1.62059079</v>
      </c>
      <c r="E14" s="84" t="n">
        <f aca="false">C14/$B$3</f>
        <v>1.37505598</v>
      </c>
    </row>
    <row r="15" customFormat="false" ht="15" hidden="false" customHeight="true" outlineLevel="0" collapsed="false">
      <c r="A15" s="79" t="s">
        <v>804</v>
      </c>
      <c r="B15" s="26" t="n">
        <v>1587001.59</v>
      </c>
      <c r="C15" s="26" t="n">
        <v>20395094.98</v>
      </c>
      <c r="D15" s="84" t="n">
        <f aca="false">B15/$B$3</f>
        <v>1.58700159</v>
      </c>
      <c r="E15" s="84" t="n">
        <f aca="false">C15/$B$3</f>
        <v>20.39509498</v>
      </c>
    </row>
    <row r="16" customFormat="false" ht="15" hidden="false" customHeight="true" outlineLevel="0" collapsed="false">
      <c r="A16" s="79" t="s">
        <v>805</v>
      </c>
      <c r="B16" s="26" t="n">
        <v>4555364.1</v>
      </c>
      <c r="C16" s="26" t="n">
        <v>7363838.53</v>
      </c>
      <c r="D16" s="84" t="n">
        <f aca="false">B16/$B$3</f>
        <v>4.5553641</v>
      </c>
      <c r="E16" s="84" t="n">
        <f aca="false">C16/$B$3</f>
        <v>7.36383853</v>
      </c>
    </row>
    <row r="17" customFormat="false" ht="15" hidden="false" customHeight="true" outlineLevel="0" collapsed="false">
      <c r="A17" s="79" t="s">
        <v>806</v>
      </c>
      <c r="B17" s="26" t="n">
        <v>99225183.9</v>
      </c>
      <c r="C17" s="26" t="n">
        <v>33494543.05</v>
      </c>
      <c r="D17" s="84" t="n">
        <f aca="false">B17/$B$3</f>
        <v>99.2251839</v>
      </c>
      <c r="E17" s="84" t="n">
        <f aca="false">C17/$B$3</f>
        <v>33.49454305</v>
      </c>
    </row>
    <row r="18" customFormat="false" ht="15" hidden="false" customHeight="true" outlineLevel="0" collapsed="false">
      <c r="A18" s="79" t="s">
        <v>807</v>
      </c>
      <c r="B18" s="26" t="n">
        <v>611748.62</v>
      </c>
      <c r="C18" s="26" t="n">
        <v>1736213.82</v>
      </c>
      <c r="D18" s="84" t="n">
        <f aca="false">B18/$B$3</f>
        <v>0.61174862</v>
      </c>
      <c r="E18" s="84" t="n">
        <f aca="false">C18/$B$3</f>
        <v>1.73621382</v>
      </c>
    </row>
    <row r="19" customFormat="false" ht="15" hidden="false" customHeight="true" outlineLevel="0" collapsed="false">
      <c r="A19" s="79" t="s">
        <v>808</v>
      </c>
      <c r="B19" s="26" t="n">
        <v>2364.19</v>
      </c>
      <c r="C19" s="26" t="n">
        <v>1718.4</v>
      </c>
      <c r="D19" s="84" t="n">
        <f aca="false">B19/$B$3</f>
        <v>0.00236419</v>
      </c>
      <c r="E19" s="84" t="n">
        <f aca="false">C19/$B$3</f>
        <v>0.0017184</v>
      </c>
    </row>
    <row r="20" customFormat="false" ht="15" hidden="false" customHeight="true" outlineLevel="0" collapsed="false">
      <c r="A20" s="10" t="s">
        <v>809</v>
      </c>
      <c r="B20" s="68" t="n">
        <f aca="false">B11+B12+B13+B14+B15+B16+B17+B18+B19</f>
        <v>200427761.58</v>
      </c>
      <c r="C20" s="68" t="n">
        <f aca="false">C11+C12+C13+C14+C15+C16+C17+C18+C19</f>
        <v>162577837</v>
      </c>
      <c r="D20" s="11" t="n">
        <f aca="false">B20/$B$3</f>
        <v>200.42776158</v>
      </c>
      <c r="E20" s="11" t="n">
        <f aca="false">C20/$B$3</f>
        <v>162.577837</v>
      </c>
    </row>
    <row r="21" customFormat="false" ht="15" hidden="false" customHeight="true" outlineLevel="0" collapsed="false">
      <c r="A21" s="3" t="s">
        <v>810</v>
      </c>
      <c r="B21" s="90" t="n">
        <f aca="false">ROUND(B20-(200427761.58),2)</f>
        <v>0</v>
      </c>
      <c r="C21" s="90" t="n">
        <f aca="false">ROUND(C20-(162577837),2)</f>
        <v>0</v>
      </c>
    </row>
    <row r="22" customFormat="false" ht="15" hidden="false" customHeight="true" outlineLevel="0" collapsed="false">
      <c r="A22" s="76" t="s">
        <v>811</v>
      </c>
      <c r="B22" s="26" t="n">
        <v>200591284</v>
      </c>
      <c r="C22" s="26" t="n">
        <v>162760020.98</v>
      </c>
      <c r="D22" s="84" t="n">
        <f aca="false">B22/$B$3</f>
        <v>200.591284</v>
      </c>
      <c r="E22" s="84" t="n">
        <f aca="false">C22/$B$3</f>
        <v>162.76002098</v>
      </c>
    </row>
    <row r="23" customFormat="false" ht="15" hidden="false" customHeight="true" outlineLevel="0" collapsed="false">
      <c r="A23" s="79" t="s">
        <v>812</v>
      </c>
      <c r="B23" s="26" t="n">
        <v>160522.42</v>
      </c>
      <c r="C23" s="26" t="n">
        <v>173613.58</v>
      </c>
      <c r="D23" s="84" t="n">
        <f aca="false">B23/$B$3</f>
        <v>0.16052242</v>
      </c>
      <c r="E23" s="84" t="n">
        <f aca="false">C23/$B$3</f>
        <v>0.17361358</v>
      </c>
    </row>
    <row r="24" customFormat="false" ht="15" hidden="false" customHeight="true" outlineLevel="0" collapsed="false">
      <c r="A24" s="79" t="s">
        <v>813</v>
      </c>
      <c r="B24" s="26" t="n">
        <v>3000</v>
      </c>
      <c r="C24" s="26" t="n">
        <v>8570.4</v>
      </c>
      <c r="D24" s="84" t="n">
        <f aca="false">B24/$B$3</f>
        <v>0.003</v>
      </c>
      <c r="E24" s="84" t="n">
        <f aca="false">C24/$B$3</f>
        <v>0.0085704</v>
      </c>
    </row>
    <row r="25" customFormat="false" ht="15" hidden="false" customHeight="true" outlineLevel="0" collapsed="false">
      <c r="A25" s="3" t="s">
        <v>814</v>
      </c>
      <c r="B25" s="30" t="n">
        <f aca="false">ROUND(B20+B23+B24-B22,2)</f>
        <v>0</v>
      </c>
      <c r="C25" s="30" t="n">
        <f aca="false">ROUND(C20+C23+C24-C22,2)</f>
        <v>0</v>
      </c>
    </row>
    <row r="26" customFormat="false" ht="30" hidden="false" customHeight="true" outlineLevel="0" collapsed="false">
      <c r="A26" s="32" t="s">
        <v>815</v>
      </c>
      <c r="B26" s="32"/>
      <c r="C26" s="32"/>
      <c r="D26" s="32"/>
      <c r="E26" s="32"/>
      <c r="F26" s="32"/>
    </row>
    <row r="28" customFormat="false" ht="15" hidden="false" customHeight="true" outlineLevel="0" collapsed="false">
      <c r="A28" s="5" t="s">
        <v>816</v>
      </c>
      <c r="B28" s="6"/>
      <c r="C28" s="6"/>
      <c r="D28" s="6"/>
      <c r="E28" s="6"/>
      <c r="F28" s="6"/>
    </row>
    <row r="29" customFormat="false" ht="30" hidden="false" customHeight="true" outlineLevel="0" collapsed="false">
      <c r="A29" s="58" t="s">
        <v>817</v>
      </c>
      <c r="B29" s="59" t="s">
        <v>194</v>
      </c>
      <c r="C29" s="59" t="s">
        <v>195</v>
      </c>
      <c r="D29" s="59" t="s">
        <v>196</v>
      </c>
      <c r="E29" s="59" t="s">
        <v>197</v>
      </c>
    </row>
    <row r="30" customFormat="false" ht="15" hidden="false" customHeight="true" outlineLevel="0" collapsed="false">
      <c r="A30" s="79" t="s">
        <v>818</v>
      </c>
      <c r="B30" s="26" t="n">
        <v>3022511.43</v>
      </c>
      <c r="C30" s="26" t="n">
        <v>3350826.44</v>
      </c>
      <c r="D30" s="84" t="n">
        <f aca="false">B30/$B$3</f>
        <v>3.02251143</v>
      </c>
      <c r="E30" s="84" t="n">
        <f aca="false">C30/$B$3</f>
        <v>3.35082644</v>
      </c>
    </row>
    <row r="31" customFormat="false" ht="15" hidden="false" customHeight="true" outlineLevel="0" collapsed="false">
      <c r="A31" s="79" t="s">
        <v>819</v>
      </c>
      <c r="B31" s="26" t="n">
        <v>88759028.88</v>
      </c>
      <c r="C31" s="26" t="n">
        <v>88640128.01</v>
      </c>
      <c r="D31" s="84" t="n">
        <f aca="false">B31/$B$3</f>
        <v>88.75902888</v>
      </c>
      <c r="E31" s="84" t="n">
        <f aca="false">C31/$B$3</f>
        <v>88.64012801</v>
      </c>
    </row>
    <row r="32" customFormat="false" ht="15" hidden="false" customHeight="true" outlineLevel="0" collapsed="false">
      <c r="A32" s="79" t="s">
        <v>820</v>
      </c>
      <c r="B32" s="26" t="n">
        <v>23380916.66</v>
      </c>
      <c r="C32" s="26" t="n">
        <v>16969612.13</v>
      </c>
      <c r="D32" s="84" t="n">
        <f aca="false">B32/$B$3</f>
        <v>23.38091666</v>
      </c>
      <c r="E32" s="84" t="n">
        <f aca="false">C32/$B$3</f>
        <v>16.96961213</v>
      </c>
    </row>
    <row r="33" customFormat="false" ht="15" hidden="false" customHeight="true" outlineLevel="0" collapsed="false">
      <c r="A33" s="79" t="s">
        <v>821</v>
      </c>
      <c r="B33" s="26" t="n">
        <v>22992215.45</v>
      </c>
      <c r="C33" s="26" t="n">
        <v>30735513.03</v>
      </c>
      <c r="D33" s="84" t="n">
        <f aca="false">B33/$B$3</f>
        <v>22.99221545</v>
      </c>
      <c r="E33" s="84" t="n">
        <f aca="false">C33/$B$3</f>
        <v>30.73551303</v>
      </c>
    </row>
    <row r="34" customFormat="false" ht="15" hidden="false" customHeight="true" outlineLevel="0" collapsed="false">
      <c r="A34" s="79" t="s">
        <v>822</v>
      </c>
      <c r="B34" s="26" t="n">
        <v>25560952.77</v>
      </c>
      <c r="C34" s="26" t="n">
        <v>23646278.22</v>
      </c>
      <c r="D34" s="84" t="n">
        <f aca="false">B34/$B$3</f>
        <v>25.56095277</v>
      </c>
      <c r="E34" s="84" t="n">
        <f aca="false">C34/$B$3</f>
        <v>23.64627822</v>
      </c>
    </row>
    <row r="35" customFormat="false" ht="15" hidden="false" customHeight="true" outlineLevel="0" collapsed="false">
      <c r="A35" s="79" t="s">
        <v>823</v>
      </c>
      <c r="B35" s="26" t="n">
        <v>4504015.4</v>
      </c>
      <c r="C35" s="26" t="n">
        <v>2305925.9</v>
      </c>
      <c r="D35" s="84" t="n">
        <f aca="false">B35/$B$3</f>
        <v>4.5040154</v>
      </c>
      <c r="E35" s="84" t="n">
        <f aca="false">C35/$B$3</f>
        <v>2.3059259</v>
      </c>
    </row>
    <row r="36" customFormat="false" ht="15" hidden="false" customHeight="true" outlineLevel="0" collapsed="false">
      <c r="A36" s="79" t="s">
        <v>824</v>
      </c>
      <c r="B36" s="26" t="n">
        <v>0</v>
      </c>
      <c r="C36" s="26" t="n">
        <v>0</v>
      </c>
      <c r="D36" s="84" t="n">
        <f aca="false">B36/$B$3</f>
        <v>0</v>
      </c>
      <c r="E36" s="84" t="n">
        <f aca="false">C36/$B$3</f>
        <v>0</v>
      </c>
    </row>
    <row r="37" customFormat="false" ht="15" hidden="false" customHeight="true" outlineLevel="0" collapsed="false">
      <c r="A37" s="79" t="s">
        <v>825</v>
      </c>
      <c r="B37" s="26" t="n">
        <v>0</v>
      </c>
      <c r="C37" s="26" t="n">
        <v>0</v>
      </c>
      <c r="D37" s="84" t="n">
        <f aca="false">B37/$B$3</f>
        <v>0</v>
      </c>
      <c r="E37" s="84" t="n">
        <f aca="false">C37/$B$3</f>
        <v>0</v>
      </c>
    </row>
    <row r="38" customFormat="false" ht="15" hidden="false" customHeight="true" outlineLevel="0" collapsed="false">
      <c r="A38" s="79" t="s">
        <v>826</v>
      </c>
      <c r="B38" s="26" t="n">
        <v>887836.83</v>
      </c>
      <c r="C38" s="26" t="n">
        <v>2649999.47</v>
      </c>
      <c r="D38" s="84" t="n">
        <f aca="false">B38/$B$3</f>
        <v>0.88783683</v>
      </c>
      <c r="E38" s="84" t="n">
        <f aca="false">C38/$B$3</f>
        <v>2.64999947</v>
      </c>
    </row>
    <row r="39" customFormat="false" ht="15" hidden="false" customHeight="true" outlineLevel="0" collapsed="false">
      <c r="A39" s="10" t="s">
        <v>827</v>
      </c>
      <c r="B39" s="68" t="n">
        <f aca="false">B30+B31+B32+B33+B34+B35+B36+B37+B38</f>
        <v>169107477.42</v>
      </c>
      <c r="C39" s="68" t="n">
        <f aca="false">C30+C31+C32+C33+C34+C35+C36+C37+C38</f>
        <v>168298283.2</v>
      </c>
      <c r="D39" s="11" t="n">
        <f aca="false">B39/$B$3</f>
        <v>169.10747742</v>
      </c>
      <c r="E39" s="11" t="n">
        <f aca="false">C39/$B$3</f>
        <v>168.2982832</v>
      </c>
    </row>
    <row r="40" customFormat="false" ht="15" hidden="false" customHeight="true" outlineLevel="0" collapsed="false">
      <c r="A40" s="3" t="s">
        <v>828</v>
      </c>
      <c r="B40" s="90" t="n">
        <f aca="false">ROUND(B39-(169107477.42),2)</f>
        <v>0</v>
      </c>
      <c r="C40" s="90" t="n">
        <f aca="false">ROUND(C39-(168298283.2),2)</f>
        <v>0</v>
      </c>
    </row>
    <row r="41" customFormat="false" ht="15" hidden="false" customHeight="true" outlineLevel="0" collapsed="false">
      <c r="A41" s="76" t="s">
        <v>829</v>
      </c>
      <c r="B41" s="26" t="n">
        <v>186880035.44</v>
      </c>
      <c r="C41" s="26" t="n">
        <v>176881258.26</v>
      </c>
      <c r="D41" s="84" t="n">
        <f aca="false">B41/$B$3</f>
        <v>186.88003544</v>
      </c>
      <c r="E41" s="84" t="n">
        <f aca="false">C41/$B$3</f>
        <v>176.88125826</v>
      </c>
    </row>
    <row r="42" customFormat="false" ht="15" hidden="false" customHeight="true" outlineLevel="0" collapsed="false">
      <c r="A42" s="79" t="s">
        <v>830</v>
      </c>
      <c r="B42" s="26" t="n">
        <v>2269802.05</v>
      </c>
      <c r="C42" s="26" t="n">
        <v>2108657.07</v>
      </c>
      <c r="D42" s="84" t="n">
        <f aca="false">B42/$B$3</f>
        <v>2.26980205</v>
      </c>
      <c r="E42" s="84" t="n">
        <f aca="false">C42/$B$3</f>
        <v>2.10865707</v>
      </c>
    </row>
    <row r="43" customFormat="false" ht="23.25" hidden="false" customHeight="true" outlineLevel="0" collapsed="false">
      <c r="A43" s="79" t="s">
        <v>831</v>
      </c>
      <c r="B43" s="26" t="n">
        <v>2348770.51</v>
      </c>
      <c r="C43" s="26" t="n">
        <v>2143023.95</v>
      </c>
      <c r="D43" s="84" t="n">
        <f aca="false">B43/$B$3</f>
        <v>2.34877051</v>
      </c>
      <c r="E43" s="84" t="n">
        <f aca="false">C43/$B$3</f>
        <v>2.14302395</v>
      </c>
    </row>
    <row r="44" customFormat="false" ht="15" hidden="false" customHeight="true" outlineLevel="0" collapsed="false">
      <c r="A44" s="79" t="s">
        <v>832</v>
      </c>
      <c r="B44" s="26" t="n">
        <v>5275304.12</v>
      </c>
      <c r="C44" s="26" t="n">
        <v>-1895827.37</v>
      </c>
      <c r="D44" s="84" t="n">
        <f aca="false">B44/$B$3</f>
        <v>5.27530412</v>
      </c>
      <c r="E44" s="84" t="n">
        <f aca="false">C44/$B$3</f>
        <v>-1.89582737</v>
      </c>
    </row>
    <row r="45" customFormat="false" ht="15" hidden="false" customHeight="true" outlineLevel="0" collapsed="false">
      <c r="A45" s="79" t="s">
        <v>833</v>
      </c>
      <c r="B45" s="26" t="n">
        <v>4333828.26</v>
      </c>
      <c r="C45" s="26" t="n">
        <v>4840820.44</v>
      </c>
      <c r="D45" s="84" t="n">
        <f aca="false">B45/$B$3</f>
        <v>4.33382826</v>
      </c>
      <c r="E45" s="84" t="n">
        <f aca="false">C45/$B$3</f>
        <v>4.84082044</v>
      </c>
    </row>
    <row r="46" customFormat="false" ht="15" hidden="false" customHeight="true" outlineLevel="0" collapsed="false">
      <c r="A46" s="79" t="s">
        <v>834</v>
      </c>
      <c r="B46" s="26" t="n">
        <v>2643140.37</v>
      </c>
      <c r="C46" s="26" t="n">
        <v>18290.22</v>
      </c>
      <c r="D46" s="84" t="n">
        <f aca="false">B46/$B$3</f>
        <v>2.64314037</v>
      </c>
      <c r="E46" s="84" t="n">
        <f aca="false">C46/$B$3</f>
        <v>0.01829022</v>
      </c>
    </row>
    <row r="47" customFormat="false" ht="15" hidden="false" customHeight="true" outlineLevel="0" collapsed="false">
      <c r="A47" s="79" t="s">
        <v>835</v>
      </c>
      <c r="B47" s="26" t="n">
        <v>881459.45</v>
      </c>
      <c r="C47" s="26" t="n">
        <v>1334978.83</v>
      </c>
      <c r="D47" s="84" t="n">
        <f aca="false">B47/$B$3</f>
        <v>0.88145945</v>
      </c>
      <c r="E47" s="84" t="n">
        <f aca="false">C47/$B$3</f>
        <v>1.33497883</v>
      </c>
    </row>
    <row r="48" customFormat="false" ht="15" hidden="false" customHeight="true" outlineLevel="0" collapsed="false">
      <c r="A48" s="79" t="s">
        <v>836</v>
      </c>
      <c r="B48" s="26" t="n">
        <v>20253.26</v>
      </c>
      <c r="C48" s="26" t="n">
        <v>33031.92</v>
      </c>
      <c r="D48" s="84" t="n">
        <f aca="false">B48/$B$3</f>
        <v>0.02025326</v>
      </c>
      <c r="E48" s="84" t="n">
        <f aca="false">C48/$B$3</f>
        <v>0.03303192</v>
      </c>
    </row>
    <row r="49" customFormat="false" ht="15" hidden="false" customHeight="true" outlineLevel="0" collapsed="false">
      <c r="A49" s="10" t="s">
        <v>837</v>
      </c>
      <c r="B49" s="66" t="n">
        <f aca="false">B42+B43+B44+B45+B46+B47+B48</f>
        <v>17772558.02</v>
      </c>
      <c r="C49" s="66" t="n">
        <f aca="false">C42+C43+C44+C45+C46+C47+C48</f>
        <v>8582975.06</v>
      </c>
      <c r="D49" s="11" t="n">
        <f aca="false">B49/$B$3</f>
        <v>17.77255802</v>
      </c>
      <c r="E49" s="11" t="n">
        <f aca="false">C49/$B$3</f>
        <v>8.58297506</v>
      </c>
    </row>
    <row r="50" customFormat="false" ht="15" hidden="false" customHeight="true" outlineLevel="0" collapsed="false">
      <c r="A50" s="3" t="s">
        <v>838</v>
      </c>
      <c r="B50" s="90" t="n">
        <f aca="false">ROUND(B49-(17772558.02),2)</f>
        <v>0</v>
      </c>
      <c r="C50" s="90" t="n">
        <f aca="false">ROUND(C49-(8582975.06),2)</f>
        <v>0</v>
      </c>
    </row>
    <row r="51" customFormat="false" ht="15" hidden="false" customHeight="true" outlineLevel="0" collapsed="false">
      <c r="A51" s="3" t="s">
        <v>839</v>
      </c>
      <c r="B51" s="30" t="n">
        <f aca="false">ROUND(B39+B49-B41,2)</f>
        <v>0</v>
      </c>
      <c r="C51" s="30" t="n">
        <f aca="false">ROUND(C39+C49-C41,2)</f>
        <v>0</v>
      </c>
    </row>
    <row r="52" customFormat="false" ht="15" hidden="false" customHeight="true" outlineLevel="0" collapsed="false">
      <c r="A52" s="3" t="s">
        <v>840</v>
      </c>
      <c r="B52" s="30" t="n">
        <f aca="false">ROUND(B22-B41-PyG!C38,2)</f>
        <v>0</v>
      </c>
      <c r="C52" s="30" t="n">
        <f aca="false">ROUND(C22-C41-PyG!D38,2)</f>
        <v>0</v>
      </c>
    </row>
    <row r="53" customFormat="false" ht="30" hidden="false" customHeight="true" outlineLevel="0" collapsed="false">
      <c r="A53" s="32" t="s">
        <v>841</v>
      </c>
      <c r="B53" s="32"/>
      <c r="C53" s="32"/>
      <c r="D53" s="32"/>
      <c r="E53" s="32"/>
      <c r="F53" s="32"/>
    </row>
    <row r="54" customFormat="false" ht="30" hidden="false" customHeight="true" outlineLevel="0" collapsed="false">
      <c r="A54" s="31" t="s">
        <v>842</v>
      </c>
      <c r="B54" s="31"/>
      <c r="C54" s="31"/>
      <c r="D54" s="31"/>
      <c r="E54" s="31"/>
      <c r="F54" s="31"/>
    </row>
    <row r="56" customFormat="false" ht="15" hidden="false" customHeight="true" outlineLevel="0" collapsed="false">
      <c r="A56" s="5" t="s">
        <v>843</v>
      </c>
      <c r="B56" s="6"/>
      <c r="C56" s="6"/>
      <c r="D56" s="6"/>
      <c r="E56" s="6"/>
      <c r="F56" s="6"/>
    </row>
    <row r="57" customFormat="false" ht="30" hidden="false" customHeight="true" outlineLevel="0" collapsed="false">
      <c r="A57" s="58" t="s">
        <v>2</v>
      </c>
      <c r="B57" s="59" t="s">
        <v>194</v>
      </c>
      <c r="C57" s="59" t="s">
        <v>195</v>
      </c>
      <c r="D57" s="59" t="s">
        <v>196</v>
      </c>
      <c r="E57" s="59" t="s">
        <v>197</v>
      </c>
    </row>
    <row r="58" customFormat="false" ht="15" hidden="false" customHeight="true" outlineLevel="0" collapsed="false">
      <c r="A58" s="79" t="s">
        <v>844</v>
      </c>
      <c r="B58" s="54" t="n">
        <f aca="false">B20</f>
        <v>200427761.58</v>
      </c>
      <c r="C58" s="54" t="n">
        <f aca="false">C20</f>
        <v>162577837</v>
      </c>
      <c r="D58" s="84" t="n">
        <f aca="false">B58/$B$3</f>
        <v>200.42776158</v>
      </c>
      <c r="E58" s="84" t="n">
        <f aca="false">C58/$B$3</f>
        <v>162.577837</v>
      </c>
    </row>
    <row r="59" customFormat="false" ht="15" hidden="false" customHeight="true" outlineLevel="0" collapsed="false">
      <c r="A59" s="79" t="s">
        <v>845</v>
      </c>
      <c r="B59" s="54" t="n">
        <f aca="false">B39</f>
        <v>169107477.42</v>
      </c>
      <c r="C59" s="54" t="n">
        <f aca="false">C39</f>
        <v>168298283.2</v>
      </c>
      <c r="D59" s="84" t="n">
        <f aca="false">B59/$B$3</f>
        <v>169.10747742</v>
      </c>
      <c r="E59" s="84" t="n">
        <f aca="false">C59/$B$3</f>
        <v>168.2982832</v>
      </c>
    </row>
    <row r="60" customFormat="false" ht="15" hidden="false" customHeight="true" outlineLevel="0" collapsed="false">
      <c r="A60" s="10" t="s">
        <v>846</v>
      </c>
      <c r="B60" s="97" t="n">
        <f aca="false">B58-B59</f>
        <v>31320284.16</v>
      </c>
      <c r="C60" s="97" t="n">
        <f aca="false">C58-C59</f>
        <v>-5720446.20000002</v>
      </c>
      <c r="D60" s="11" t="n">
        <f aca="false">B60/$B$3</f>
        <v>31.32028416</v>
      </c>
      <c r="E60" s="11" t="n">
        <f aca="false">C60/$B$3</f>
        <v>-5.72044620000002</v>
      </c>
    </row>
    <row r="61" customFormat="false" ht="15" hidden="false" customHeight="true" outlineLevel="0" collapsed="false">
      <c r="A61" s="3" t="s">
        <v>847</v>
      </c>
      <c r="B61" s="90" t="n">
        <f aca="false">ROUND(B60-(31320284.16),2)</f>
        <v>0</v>
      </c>
      <c r="C61" s="90" t="n">
        <f aca="false">ROUND(C60-(-5720446.2),2)</f>
        <v>0</v>
      </c>
    </row>
    <row r="62" customFormat="false" ht="15" hidden="false" customHeight="true" outlineLevel="0" collapsed="false">
      <c r="A62" s="79" t="s">
        <v>848</v>
      </c>
      <c r="B62" s="26" t="n">
        <v>0</v>
      </c>
      <c r="C62" s="26" t="n">
        <v>0</v>
      </c>
      <c r="D62" s="84" t="n">
        <f aca="false">B62/$B$3</f>
        <v>0</v>
      </c>
      <c r="E62" s="84" t="n">
        <f aca="false">C62/$B$3</f>
        <v>0</v>
      </c>
    </row>
    <row r="63" customFormat="false" ht="15" hidden="false" customHeight="true" outlineLevel="0" collapsed="false">
      <c r="A63" s="79" t="s">
        <v>849</v>
      </c>
      <c r="B63" s="26" t="n">
        <v>20000000</v>
      </c>
      <c r="C63" s="26" t="n">
        <v>20000000</v>
      </c>
      <c r="D63" s="84" t="n">
        <f aca="false">B63/$B$3</f>
        <v>20</v>
      </c>
      <c r="E63" s="84" t="n">
        <f aca="false">C63/$B$3</f>
        <v>20</v>
      </c>
    </row>
    <row r="64" customFormat="false" ht="15" hidden="false" customHeight="true" outlineLevel="0" collapsed="false">
      <c r="A64" s="10" t="s">
        <v>850</v>
      </c>
      <c r="B64" s="1" t="s">
        <v>851</v>
      </c>
      <c r="C64" s="1" t="s">
        <v>852</v>
      </c>
    </row>
    <row r="65" customFormat="false" ht="15" hidden="false" customHeight="true" outlineLevel="0" collapsed="false">
      <c r="A65" s="10" t="s">
        <v>853</v>
      </c>
      <c r="B65" s="10" t="str">
        <f aca="false">IF(B60+B62&gt;=-B63,"CUMPLE","NO CUMPLE")</f>
        <v>CUMPLE</v>
      </c>
      <c r="C65" s="10" t="str">
        <f aca="false">IF(C60+C62&gt;=-C63,"CUMPLE","NO CUMPLE")</f>
        <v>CUMPLE</v>
      </c>
    </row>
    <row r="66" customFormat="false" ht="30" hidden="false" customHeight="true" outlineLevel="0" collapsed="false">
      <c r="A66" s="32" t="s">
        <v>854</v>
      </c>
      <c r="B66" s="32"/>
      <c r="C66" s="32"/>
      <c r="D66" s="32"/>
      <c r="E66" s="32"/>
      <c r="F66" s="32"/>
    </row>
    <row r="67" customFormat="false" ht="30" hidden="false" customHeight="true" outlineLevel="0" collapsed="false">
      <c r="A67" s="32" t="s">
        <v>855</v>
      </c>
      <c r="B67" s="32"/>
      <c r="C67" s="32"/>
      <c r="D67" s="32"/>
      <c r="E67" s="32"/>
      <c r="F67" s="32"/>
    </row>
    <row r="69" customFormat="false" ht="15" hidden="false" customHeight="true" outlineLevel="0" collapsed="false">
      <c r="A69" s="5" t="s">
        <v>856</v>
      </c>
      <c r="B69" s="6"/>
      <c r="C69" s="6"/>
      <c r="D69" s="6"/>
      <c r="E69" s="6"/>
      <c r="F69" s="6"/>
    </row>
    <row r="70" customFormat="false" ht="30" hidden="false" customHeight="true" outlineLevel="0" collapsed="false">
      <c r="A70" s="58" t="s">
        <v>857</v>
      </c>
      <c r="B70" s="59" t="s">
        <v>858</v>
      </c>
      <c r="C70" s="59" t="s">
        <v>859</v>
      </c>
      <c r="D70" s="59" t="s">
        <v>860</v>
      </c>
      <c r="E70" s="59" t="s">
        <v>861</v>
      </c>
      <c r="F70" s="59" t="s">
        <v>486</v>
      </c>
    </row>
    <row r="71" customFormat="false" ht="15" hidden="false" customHeight="true" outlineLevel="0" collapsed="false">
      <c r="A71" s="79" t="s">
        <v>862</v>
      </c>
      <c r="B71" s="86" t="n">
        <v>161385</v>
      </c>
      <c r="C71" s="19" t="n">
        <f aca="false">PyG!C9/1000</f>
        <v>95437.90005</v>
      </c>
      <c r="D71" s="84" t="n">
        <f aca="false">B71/1000</f>
        <v>161.385</v>
      </c>
      <c r="E71" s="84" t="n">
        <f aca="false">C71/1000</f>
        <v>95.43790005</v>
      </c>
      <c r="F71" s="3"/>
    </row>
    <row r="72" customFormat="false" ht="15" hidden="false" customHeight="true" outlineLevel="0" collapsed="false">
      <c r="A72" s="79" t="s">
        <v>863</v>
      </c>
      <c r="B72" s="86" t="n">
        <v>-4696</v>
      </c>
      <c r="C72" s="19" t="n">
        <f aca="false">PyG!C12/1000</f>
        <v>-4996.00275</v>
      </c>
      <c r="D72" s="84" t="n">
        <f aca="false">B72/1000</f>
        <v>-4.696</v>
      </c>
      <c r="E72" s="84" t="n">
        <f aca="false">C72/1000</f>
        <v>-4.99600275</v>
      </c>
      <c r="F72" s="3"/>
    </row>
    <row r="73" customFormat="false" ht="15" hidden="false" customHeight="true" outlineLevel="0" collapsed="false">
      <c r="A73" s="79" t="s">
        <v>771</v>
      </c>
      <c r="B73" s="86" t="n">
        <v>2719</v>
      </c>
      <c r="C73" s="19" t="n">
        <f aca="false">PyG!C15/1000</f>
        <v>5622.08387</v>
      </c>
      <c r="D73" s="84" t="n">
        <f aca="false">B73/1000</f>
        <v>2.719</v>
      </c>
      <c r="E73" s="84" t="n">
        <f aca="false">C73/1000</f>
        <v>5.62208387</v>
      </c>
      <c r="F73" s="3"/>
    </row>
    <row r="74" customFormat="false" ht="15" hidden="false" customHeight="true" outlineLevel="0" collapsed="false">
      <c r="A74" s="79" t="s">
        <v>864</v>
      </c>
      <c r="B74" s="86" t="n">
        <v>-8906</v>
      </c>
      <c r="C74" s="19" t="n">
        <f aca="false">-Nota13!B32/1000</f>
        <v>-8492.00274</v>
      </c>
      <c r="D74" s="84" t="n">
        <f aca="false">B74/1000</f>
        <v>-8.906</v>
      </c>
      <c r="E74" s="84" t="n">
        <f aca="false">C74/1000</f>
        <v>-8.49200274</v>
      </c>
      <c r="F74" s="3" t="s">
        <v>865</v>
      </c>
    </row>
    <row r="75" customFormat="false" ht="15" hidden="false" customHeight="true" outlineLevel="0" collapsed="false">
      <c r="A75" s="79" t="s">
        <v>866</v>
      </c>
      <c r="B75" s="86" t="n">
        <v>-142888</v>
      </c>
      <c r="C75" s="19" t="n">
        <f aca="false">-Nota13!F45/1000</f>
        <v>-135593.34111</v>
      </c>
      <c r="D75" s="84" t="n">
        <f aca="false">B75/1000</f>
        <v>-142.888</v>
      </c>
      <c r="E75" s="84" t="n">
        <f aca="false">C75/1000</f>
        <v>-135.59334111</v>
      </c>
      <c r="F75" s="3" t="s">
        <v>867</v>
      </c>
    </row>
    <row r="76" customFormat="false" ht="15" hidden="false" customHeight="true" outlineLevel="0" collapsed="false">
      <c r="A76" s="79" t="s">
        <v>821</v>
      </c>
      <c r="B76" s="86" t="n">
        <v>-26305</v>
      </c>
      <c r="D76" s="84" t="n">
        <f aca="false">B76/1000</f>
        <v>-26.305</v>
      </c>
      <c r="F76" s="3" t="s">
        <v>868</v>
      </c>
    </row>
    <row r="77" customFormat="false" ht="15" hidden="false" customHeight="true" outlineLevel="0" collapsed="false">
      <c r="A77" s="79" t="s">
        <v>869</v>
      </c>
      <c r="B77" s="86" t="n">
        <v>-31467</v>
      </c>
      <c r="C77" s="19" t="n">
        <f aca="false">PyG!C24/1000</f>
        <v>-30177.03507</v>
      </c>
      <c r="D77" s="84" t="n">
        <f aca="false">B77/1000</f>
        <v>-31.467</v>
      </c>
      <c r="E77" s="84" t="n">
        <f aca="false">C77/1000</f>
        <v>-30.17703507</v>
      </c>
      <c r="F77" s="3" t="s">
        <v>870</v>
      </c>
    </row>
    <row r="78" customFormat="false" ht="15" hidden="false" customHeight="true" outlineLevel="0" collapsed="false">
      <c r="A78" s="79" t="s">
        <v>871</v>
      </c>
      <c r="B78" s="86" t="n">
        <v>161</v>
      </c>
      <c r="D78" s="84" t="n">
        <f aca="false">B78/1000</f>
        <v>0.161</v>
      </c>
      <c r="F78" s="3"/>
    </row>
    <row r="79" customFormat="false" ht="15" hidden="false" customHeight="true" outlineLevel="0" collapsed="false">
      <c r="A79" s="79" t="s">
        <v>872</v>
      </c>
      <c r="B79" s="86" t="n">
        <v>0</v>
      </c>
      <c r="D79" s="84" t="n">
        <f aca="false">B79/1000</f>
        <v>0</v>
      </c>
      <c r="F79" s="3"/>
    </row>
    <row r="80" customFormat="false" ht="15" hidden="false" customHeight="true" outlineLevel="0" collapsed="false">
      <c r="A80" s="79" t="s">
        <v>873</v>
      </c>
      <c r="B80" s="86" t="n">
        <v>50970</v>
      </c>
      <c r="C80" s="19" t="n">
        <f aca="false">PyG!C28/1000</f>
        <v>92740.00239</v>
      </c>
      <c r="D80" s="84" t="n">
        <f aca="false">B80/1000</f>
        <v>50.97</v>
      </c>
      <c r="E80" s="84" t="n">
        <f aca="false">C80/1000</f>
        <v>92.74000239</v>
      </c>
      <c r="F80" s="3"/>
    </row>
    <row r="81" customFormat="false" ht="15" hidden="false" customHeight="true" outlineLevel="0" collapsed="false">
      <c r="A81" s="79" t="s">
        <v>874</v>
      </c>
      <c r="B81" s="86" t="n">
        <v>0</v>
      </c>
      <c r="D81" s="84" t="n">
        <f aca="false">B81/1000</f>
        <v>0</v>
      </c>
      <c r="F81" s="3"/>
    </row>
    <row r="82" customFormat="false" ht="15" hidden="false" customHeight="true" outlineLevel="0" collapsed="false">
      <c r="A82" s="10" t="s">
        <v>37</v>
      </c>
      <c r="B82" s="91" t="n">
        <f aca="false">B71+B72+B73+B74+B75+B76+B77+B78+B79+B80+B81</f>
        <v>973</v>
      </c>
      <c r="C82" s="19" t="n">
        <f aca="false">PyG!C29/1000</f>
        <v>19280.52996</v>
      </c>
      <c r="D82" s="84" t="n">
        <f aca="false">B82/1000</f>
        <v>0.973</v>
      </c>
      <c r="E82" s="84" t="n">
        <f aca="false">C82/1000</f>
        <v>19.28052996</v>
      </c>
    </row>
    <row r="83" customFormat="false" ht="15" hidden="false" customHeight="true" outlineLevel="0" collapsed="false">
      <c r="A83" s="3" t="s">
        <v>875</v>
      </c>
      <c r="B83" s="98" t="n">
        <f aca="false">ROUND(B82-(972),2)</f>
        <v>1</v>
      </c>
    </row>
    <row r="84" customFormat="false" ht="15" hidden="false" customHeight="true" outlineLevel="0" collapsed="false">
      <c r="A84" s="79" t="s">
        <v>876</v>
      </c>
      <c r="B84" s="86" t="n">
        <v>-972</v>
      </c>
    </row>
    <row r="85" customFormat="false" ht="15" hidden="false" customHeight="true" outlineLevel="0" collapsed="false">
      <c r="A85" s="79" t="s">
        <v>877</v>
      </c>
      <c r="B85" s="86" t="n">
        <v>0</v>
      </c>
      <c r="C85" s="19" t="n">
        <f aca="false">PyG!C38/1000</f>
        <v>13711.24856</v>
      </c>
    </row>
    <row r="86" customFormat="false" ht="30" hidden="false" customHeight="true" outlineLevel="0" collapsed="false">
      <c r="A86" s="32" t="s">
        <v>878</v>
      </c>
      <c r="B86" s="32"/>
      <c r="C86" s="32"/>
      <c r="D86" s="32"/>
      <c r="E86" s="32"/>
      <c r="F86" s="32"/>
    </row>
    <row r="87" customFormat="false" ht="30" hidden="false" customHeight="true" outlineLevel="0" collapsed="false">
      <c r="A87" s="31" t="s">
        <v>879</v>
      </c>
      <c r="B87" s="31"/>
      <c r="C87" s="31"/>
      <c r="D87" s="31"/>
      <c r="E87" s="31"/>
      <c r="F87" s="31"/>
    </row>
    <row r="88" customFormat="false" ht="30" hidden="false" customHeight="true" outlineLevel="0" collapsed="false">
      <c r="A88" s="31" t="s">
        <v>880</v>
      </c>
      <c r="B88" s="31"/>
      <c r="C88" s="31"/>
      <c r="D88" s="31"/>
      <c r="E88" s="31"/>
      <c r="F88" s="31"/>
    </row>
    <row r="90" customFormat="false" ht="15" hidden="false" customHeight="true" outlineLevel="0" collapsed="false">
      <c r="A90" s="5" t="s">
        <v>881</v>
      </c>
      <c r="B90" s="6"/>
      <c r="C90" s="6"/>
      <c r="D90" s="6"/>
      <c r="E90" s="6"/>
      <c r="F90" s="6"/>
    </row>
    <row r="91" customFormat="false" ht="30" hidden="false" customHeight="true" outlineLevel="0" collapsed="false">
      <c r="A91" s="31" t="s">
        <v>882</v>
      </c>
      <c r="B91" s="31"/>
      <c r="C91" s="31"/>
      <c r="D91" s="31"/>
      <c r="E91" s="31"/>
      <c r="F91" s="31"/>
    </row>
    <row r="92" customFormat="false" ht="30" hidden="false" customHeight="true" outlineLevel="0" collapsed="false">
      <c r="A92" s="58" t="s">
        <v>883</v>
      </c>
      <c r="B92" s="59" t="s">
        <v>884</v>
      </c>
      <c r="C92" s="59"/>
      <c r="D92" s="59" t="s">
        <v>885</v>
      </c>
    </row>
    <row r="93" customFormat="false" ht="15" hidden="false" customHeight="true" outlineLevel="0" collapsed="false">
      <c r="A93" s="79" t="s">
        <v>886</v>
      </c>
      <c r="B93" s="86" t="n">
        <v>70509059</v>
      </c>
      <c r="D93" s="84" t="n">
        <f aca="false">B93/$B$3</f>
        <v>70.509059</v>
      </c>
    </row>
    <row r="94" customFormat="false" ht="15" hidden="false" customHeight="true" outlineLevel="0" collapsed="false">
      <c r="A94" s="79" t="s">
        <v>887</v>
      </c>
      <c r="B94" s="86" t="n">
        <v>0</v>
      </c>
      <c r="D94" s="84" t="n">
        <f aca="false">B94/$B$3</f>
        <v>0</v>
      </c>
    </row>
    <row r="95" customFormat="false" ht="15" hidden="false" customHeight="true" outlineLevel="0" collapsed="false">
      <c r="A95" s="79" t="s">
        <v>888</v>
      </c>
      <c r="B95" s="86" t="n">
        <v>0</v>
      </c>
      <c r="D95" s="84" t="n">
        <f aca="false">B95/$B$3</f>
        <v>0</v>
      </c>
    </row>
    <row r="96" customFormat="false" ht="15" hidden="false" customHeight="true" outlineLevel="0" collapsed="false">
      <c r="A96" s="79" t="s">
        <v>889</v>
      </c>
      <c r="B96" s="86" t="n">
        <v>-29407000</v>
      </c>
      <c r="D96" s="84" t="n">
        <f aca="false">B96/$B$3</f>
        <v>-29.407</v>
      </c>
    </row>
    <row r="97" customFormat="false" ht="15" hidden="false" customHeight="true" outlineLevel="0" collapsed="false">
      <c r="A97" s="79" t="s">
        <v>890</v>
      </c>
      <c r="B97" s="86" t="n">
        <v>0</v>
      </c>
      <c r="D97" s="84" t="n">
        <f aca="false">B97/$B$3</f>
        <v>0</v>
      </c>
    </row>
    <row r="98" customFormat="false" ht="15" hidden="false" customHeight="true" outlineLevel="0" collapsed="false">
      <c r="A98" s="10" t="s">
        <v>891</v>
      </c>
      <c r="B98" s="87" t="n">
        <f aca="false">B93+B94+B95+B96+B97</f>
        <v>41102059</v>
      </c>
    </row>
    <row r="99" customFormat="false" ht="15" hidden="false" customHeight="true" outlineLevel="0" collapsed="false">
      <c r="A99" s="3" t="s">
        <v>892</v>
      </c>
      <c r="B99" s="98" t="n">
        <f aca="false">ROUND(B98-(41102059),2)</f>
        <v>0</v>
      </c>
    </row>
    <row r="100" customFormat="false" ht="15" hidden="false" customHeight="true" outlineLevel="0" collapsed="false">
      <c r="A100" s="10" t="s">
        <v>893</v>
      </c>
      <c r="B100" s="10" t="str">
        <f aca="false">IF(B98&gt;25000000,"CUMPLE","NO CUMPLE")</f>
        <v>CUMPLE</v>
      </c>
    </row>
    <row r="101" customFormat="false" ht="30" hidden="false" customHeight="true" outlineLevel="0" collapsed="false">
      <c r="A101" s="58" t="s">
        <v>894</v>
      </c>
      <c r="B101" s="59" t="s">
        <v>884</v>
      </c>
      <c r="C101" s="59"/>
      <c r="D101" s="59" t="s">
        <v>895</v>
      </c>
    </row>
    <row r="102" customFormat="false" ht="15" hidden="false" customHeight="true" outlineLevel="0" collapsed="false">
      <c r="A102" s="79" t="s">
        <v>896</v>
      </c>
      <c r="B102" s="86" t="n">
        <v>214042202</v>
      </c>
      <c r="D102" s="19" t="n">
        <f aca="false">Balance!D41+Balance!D49</f>
        <v>214042202.25</v>
      </c>
    </row>
    <row r="103" customFormat="false" ht="15" hidden="false" customHeight="true" outlineLevel="0" collapsed="false">
      <c r="A103" s="79" t="s">
        <v>897</v>
      </c>
      <c r="B103" s="86" t="n">
        <v>-174326</v>
      </c>
    </row>
    <row r="104" customFormat="false" ht="15" hidden="false" customHeight="true" outlineLevel="0" collapsed="false">
      <c r="A104" s="79" t="s">
        <v>898</v>
      </c>
      <c r="B104" s="86" t="n">
        <v>-97645182</v>
      </c>
    </row>
    <row r="105" customFormat="false" ht="15" hidden="false" customHeight="true" outlineLevel="0" collapsed="false">
      <c r="A105" s="99" t="s">
        <v>899</v>
      </c>
      <c r="B105" s="86" t="n">
        <v>-72447090</v>
      </c>
    </row>
    <row r="106" customFormat="false" ht="15" hidden="false" customHeight="true" outlineLevel="0" collapsed="false">
      <c r="A106" s="79" t="s">
        <v>900</v>
      </c>
      <c r="B106" s="86" t="n">
        <v>-47616789</v>
      </c>
      <c r="D106" s="19" t="n">
        <f aca="false">-Balance!D23</f>
        <v>-47616788.73</v>
      </c>
    </row>
    <row r="107" customFormat="false" ht="15" hidden="false" customHeight="true" outlineLevel="0" collapsed="false">
      <c r="A107" s="79" t="s">
        <v>901</v>
      </c>
      <c r="B107" s="86" t="n">
        <v>-615646</v>
      </c>
    </row>
    <row r="108" customFormat="false" ht="15" hidden="false" customHeight="true" outlineLevel="0" collapsed="false">
      <c r="A108" s="79" t="s">
        <v>902</v>
      </c>
      <c r="B108" s="86" t="n">
        <v>29407000</v>
      </c>
    </row>
    <row r="109" customFormat="false" ht="15" hidden="false" customHeight="true" outlineLevel="0" collapsed="false">
      <c r="A109" s="10" t="s">
        <v>903</v>
      </c>
      <c r="B109" s="87" t="n">
        <f aca="false">B102+B103+B104+B105+B106+B107+B108</f>
        <v>24950169</v>
      </c>
    </row>
    <row r="110" customFormat="false" ht="15" hidden="false" customHeight="true" outlineLevel="0" collapsed="false">
      <c r="A110" s="3" t="s">
        <v>904</v>
      </c>
      <c r="B110" s="98" t="n">
        <f aca="false">ROUND(B109-(24950169),2)</f>
        <v>0</v>
      </c>
    </row>
    <row r="111" customFormat="false" ht="15" hidden="false" customHeight="true" outlineLevel="0" collapsed="false">
      <c r="A111" s="79" t="s">
        <v>905</v>
      </c>
      <c r="B111" s="100" t="n">
        <v>0.4</v>
      </c>
    </row>
    <row r="112" customFormat="false" ht="15" hidden="false" customHeight="true" outlineLevel="0" collapsed="false">
      <c r="A112" s="12" t="s">
        <v>906</v>
      </c>
      <c r="B112" s="101" t="n">
        <f aca="false">ROUND(B109*B111,0)</f>
        <v>9980068</v>
      </c>
    </row>
    <row r="113" customFormat="false" ht="15" hidden="false" customHeight="true" outlineLevel="0" collapsed="false">
      <c r="A113" s="10" t="s">
        <v>907</v>
      </c>
      <c r="B113" s="91" t="n">
        <f aca="false">B98-B112</f>
        <v>31121991</v>
      </c>
      <c r="C113" s="10" t="str">
        <f aca="false">IF(B113&gt;0,"CUMPLE","NO CUMPLE")</f>
        <v>CUMPLE</v>
      </c>
    </row>
    <row r="114" customFormat="false" ht="30" hidden="false" customHeight="true" outlineLevel="0" collapsed="false">
      <c r="A114" s="58" t="s">
        <v>908</v>
      </c>
      <c r="B114" s="59" t="s">
        <v>884</v>
      </c>
      <c r="C114" s="59"/>
      <c r="D114" s="59" t="s">
        <v>885</v>
      </c>
    </row>
    <row r="115" customFormat="false" ht="15" hidden="false" customHeight="true" outlineLevel="0" collapsed="false">
      <c r="A115" s="79" t="s">
        <v>909</v>
      </c>
      <c r="B115" s="86" t="n">
        <v>231769444</v>
      </c>
      <c r="D115" s="84" t="n">
        <f aca="false">B115/$B$3</f>
        <v>231.769444</v>
      </c>
    </row>
    <row r="116" customFormat="false" ht="15" hidden="false" customHeight="true" outlineLevel="0" collapsed="false">
      <c r="A116" s="79" t="s">
        <v>910</v>
      </c>
      <c r="B116" s="86" t="n">
        <v>-28668456</v>
      </c>
      <c r="D116" s="84" t="n">
        <f aca="false">B116/$B$3</f>
        <v>-28.668456</v>
      </c>
    </row>
    <row r="117" customFormat="false" ht="15" hidden="false" customHeight="true" outlineLevel="0" collapsed="false">
      <c r="A117" s="79" t="s">
        <v>911</v>
      </c>
      <c r="B117" s="86" t="n">
        <v>-111905519</v>
      </c>
      <c r="D117" s="84" t="n">
        <f aca="false">B117/$B$3</f>
        <v>-111.905519</v>
      </c>
    </row>
    <row r="118" customFormat="false" ht="15" hidden="false" customHeight="true" outlineLevel="0" collapsed="false">
      <c r="A118" s="79" t="s">
        <v>912</v>
      </c>
      <c r="B118" s="86" t="n">
        <v>-11873235</v>
      </c>
      <c r="D118" s="84" t="n">
        <f aca="false">B118/$B$3</f>
        <v>-11.873235</v>
      </c>
    </row>
    <row r="119" customFormat="false" ht="15" hidden="false" customHeight="true" outlineLevel="0" collapsed="false">
      <c r="A119" s="99" t="s">
        <v>913</v>
      </c>
      <c r="B119" s="86" t="n">
        <v>-83746620</v>
      </c>
      <c r="D119" s="84" t="n">
        <f aca="false">B119/$B$3</f>
        <v>-83.74662</v>
      </c>
    </row>
    <row r="120" customFormat="false" ht="15" hidden="false" customHeight="true" outlineLevel="0" collapsed="false">
      <c r="A120" s="79" t="s">
        <v>914</v>
      </c>
      <c r="B120" s="86" t="n">
        <v>15575441</v>
      </c>
      <c r="D120" s="84" t="n">
        <f aca="false">B120/$B$3</f>
        <v>15.575441</v>
      </c>
    </row>
    <row r="121" customFormat="false" ht="15" hidden="false" customHeight="true" outlineLevel="0" collapsed="false">
      <c r="A121" s="10" t="s">
        <v>915</v>
      </c>
      <c r="B121" s="87" t="n">
        <f aca="false">B115+B116+B117+B118+B119+B120</f>
        <v>11151055</v>
      </c>
    </row>
    <row r="122" customFormat="false" ht="15" hidden="false" customHeight="true" outlineLevel="0" collapsed="false">
      <c r="A122" s="3" t="s">
        <v>916</v>
      </c>
      <c r="B122" s="98" t="n">
        <f aca="false">ROUND(B121-(11151055),2)</f>
        <v>0</v>
      </c>
    </row>
    <row r="123" customFormat="false" ht="15" hidden="false" customHeight="true" outlineLevel="0" collapsed="false">
      <c r="A123" s="79" t="s">
        <v>917</v>
      </c>
      <c r="B123" s="86" t="n">
        <v>89100900</v>
      </c>
    </row>
    <row r="124" customFormat="false" ht="15" hidden="false" customHeight="true" outlineLevel="0" collapsed="false">
      <c r="A124" s="79" t="s">
        <v>918</v>
      </c>
      <c r="B124" s="102" t="n">
        <v>0.8</v>
      </c>
    </row>
    <row r="125" customFormat="false" ht="15" hidden="false" customHeight="true" outlineLevel="0" collapsed="false">
      <c r="A125" s="12" t="s">
        <v>919</v>
      </c>
      <c r="B125" s="101" t="n">
        <f aca="false">B123*B124</f>
        <v>71280720</v>
      </c>
    </row>
    <row r="126" customFormat="false" ht="15" hidden="false" customHeight="true" outlineLevel="0" collapsed="false">
      <c r="A126" s="3" t="s">
        <v>920</v>
      </c>
      <c r="B126" s="98" t="n">
        <f aca="false">ROUND(B125-(71280720),2)</f>
        <v>0</v>
      </c>
    </row>
    <row r="127" customFormat="false" ht="15" hidden="false" customHeight="true" outlineLevel="0" collapsed="false">
      <c r="A127" s="10" t="s">
        <v>921</v>
      </c>
      <c r="B127" s="10" t="str">
        <f aca="false">IF(B121&lt;B125,"CUMPLE","NO CUMPLE")</f>
        <v>CUMPLE</v>
      </c>
    </row>
    <row r="128" customFormat="false" ht="39.75" hidden="false" customHeight="true" outlineLevel="0" collapsed="false">
      <c r="A128" s="31" t="s">
        <v>922</v>
      </c>
      <c r="B128" s="31"/>
      <c r="C128" s="31"/>
      <c r="D128" s="31"/>
      <c r="E128" s="31"/>
      <c r="F128" s="31"/>
    </row>
    <row r="129" customFormat="false" ht="30" hidden="false" customHeight="true" outlineLevel="0" collapsed="false">
      <c r="A129" s="31" t="s">
        <v>923</v>
      </c>
      <c r="B129" s="31"/>
      <c r="C129" s="31"/>
      <c r="D129" s="31"/>
      <c r="E129" s="31"/>
      <c r="F129" s="31"/>
    </row>
    <row r="130" customFormat="false" ht="30" hidden="false" customHeight="true" outlineLevel="0" collapsed="false">
      <c r="A130" s="32" t="s">
        <v>924</v>
      </c>
      <c r="B130" s="32"/>
      <c r="C130" s="32"/>
      <c r="D130" s="32"/>
      <c r="E130" s="32"/>
      <c r="F130" s="32"/>
    </row>
    <row r="132" customFormat="false" ht="15" hidden="false" customHeight="true" outlineLevel="0" collapsed="false">
      <c r="A132" s="5" t="s">
        <v>925</v>
      </c>
      <c r="B132" s="6"/>
      <c r="C132" s="6"/>
      <c r="D132" s="6"/>
      <c r="E132" s="6"/>
      <c r="F132" s="6"/>
    </row>
    <row r="133" customFormat="false" ht="30" hidden="false" customHeight="true" outlineLevel="0" collapsed="false">
      <c r="A133" s="58" t="s">
        <v>926</v>
      </c>
      <c r="B133" s="59" t="s">
        <v>927</v>
      </c>
      <c r="C133" s="59" t="s">
        <v>928</v>
      </c>
      <c r="D133" s="59" t="s">
        <v>929</v>
      </c>
    </row>
    <row r="134" customFormat="false" ht="15" hidden="false" customHeight="true" outlineLevel="0" collapsed="false">
      <c r="A134" s="12" t="s">
        <v>930</v>
      </c>
      <c r="B134" s="100" t="n">
        <v>0.26</v>
      </c>
      <c r="C134" s="103" t="n">
        <f aca="false">Balance!C36/Balance!C25</f>
        <v>0.257982643244312</v>
      </c>
      <c r="D134" s="3" t="s">
        <v>931</v>
      </c>
    </row>
    <row r="135" customFormat="false" ht="15" hidden="false" customHeight="true" outlineLevel="0" collapsed="false">
      <c r="A135" s="12" t="s">
        <v>932</v>
      </c>
      <c r="B135" s="100" t="n">
        <v>0.51</v>
      </c>
      <c r="C135" s="103" t="n">
        <f aca="false">(Nota13!B45-Nota13!B44)/B20</f>
        <v>0.505234775271295</v>
      </c>
      <c r="D135" s="3" t="s">
        <v>933</v>
      </c>
    </row>
    <row r="136" customFormat="false" ht="15" hidden="false" customHeight="true" outlineLevel="0" collapsed="false">
      <c r="A136" s="12" t="s">
        <v>934</v>
      </c>
      <c r="B136" s="100" t="n">
        <v>0.62</v>
      </c>
      <c r="C136" s="103" t="n">
        <f aca="false">Nota7!B81/Nota13!B19</f>
        <v>0.62027636783594</v>
      </c>
      <c r="D136" s="3" t="s">
        <v>935</v>
      </c>
    </row>
    <row r="137" customFormat="false" ht="30" hidden="false" customHeight="true" outlineLevel="0" collapsed="false">
      <c r="A137" s="32" t="s">
        <v>936</v>
      </c>
      <c r="B137" s="32"/>
      <c r="C137" s="32"/>
      <c r="D137" s="32"/>
      <c r="E137" s="32"/>
      <c r="F137" s="32"/>
    </row>
    <row r="139" customFormat="false" ht="15" hidden="false" customHeight="true" outlineLevel="0" collapsed="false">
      <c r="A139" s="5" t="s">
        <v>937</v>
      </c>
      <c r="B139" s="6"/>
      <c r="C139" s="6"/>
      <c r="D139" s="6"/>
      <c r="E139" s="6"/>
      <c r="F139" s="6"/>
    </row>
    <row r="140" customFormat="false" ht="30" hidden="false" customHeight="true" outlineLevel="0" collapsed="false">
      <c r="A140" s="58" t="s">
        <v>857</v>
      </c>
      <c r="B140" s="59" t="s">
        <v>938</v>
      </c>
      <c r="C140" s="59" t="s">
        <v>939</v>
      </c>
      <c r="D140" s="59" t="s">
        <v>940</v>
      </c>
      <c r="E140" s="59" t="s">
        <v>941</v>
      </c>
    </row>
    <row r="141" customFormat="false" ht="15" hidden="false" customHeight="true" outlineLevel="0" collapsed="false">
      <c r="A141" s="104" t="s">
        <v>628</v>
      </c>
      <c r="B141" s="86" t="n">
        <v>12302</v>
      </c>
      <c r="C141" s="86" t="n">
        <v>248</v>
      </c>
      <c r="D141" s="84" t="n">
        <f aca="false">B141/$B$3</f>
        <v>0.012302</v>
      </c>
      <c r="E141" s="84" t="n">
        <f aca="false">C141/$B$3</f>
        <v>0.000248</v>
      </c>
    </row>
    <row r="142" customFormat="false" ht="15" hidden="false" customHeight="true" outlineLevel="0" collapsed="false">
      <c r="A142" s="104" t="s">
        <v>629</v>
      </c>
      <c r="B142" s="86" t="n">
        <v>1322</v>
      </c>
      <c r="C142" s="86" t="n">
        <v>0</v>
      </c>
      <c r="D142" s="84" t="n">
        <f aca="false">B142/$B$3</f>
        <v>0.001322</v>
      </c>
      <c r="E142" s="84" t="n">
        <f aca="false">C142/$B$3</f>
        <v>0</v>
      </c>
    </row>
    <row r="143" customFormat="false" ht="15" hidden="false" customHeight="true" outlineLevel="0" collapsed="false">
      <c r="A143" s="104" t="s">
        <v>942</v>
      </c>
      <c r="B143" s="86" t="n">
        <v>97784</v>
      </c>
      <c r="C143" s="86" t="n">
        <v>53618</v>
      </c>
      <c r="D143" s="84" t="n">
        <f aca="false">B143/$B$3</f>
        <v>0.097784</v>
      </c>
      <c r="E143" s="84" t="n">
        <f aca="false">C143/$B$3</f>
        <v>0.053618</v>
      </c>
    </row>
    <row r="144" customFormat="false" ht="15" hidden="false" customHeight="true" outlineLevel="0" collapsed="false">
      <c r="A144" s="104" t="s">
        <v>943</v>
      </c>
      <c r="B144" s="86" t="n">
        <v>100000</v>
      </c>
      <c r="C144" s="86" t="n">
        <v>72000</v>
      </c>
      <c r="D144" s="84" t="n">
        <f aca="false">B144/$B$3</f>
        <v>0.1</v>
      </c>
      <c r="E144" s="84" t="n">
        <f aca="false">C144/$B$3</f>
        <v>0.072</v>
      </c>
    </row>
    <row r="145" customFormat="false" ht="15" hidden="false" customHeight="true" outlineLevel="0" collapsed="false">
      <c r="A145" s="10" t="s">
        <v>862</v>
      </c>
      <c r="B145" s="87" t="n">
        <f aca="false">B141+B142+B143+B144</f>
        <v>211408</v>
      </c>
      <c r="C145" s="87" t="n">
        <f aca="false">C141+C142+C143+C144</f>
        <v>125866</v>
      </c>
      <c r="D145" s="11" t="n">
        <f aca="false">B145/$B$3</f>
        <v>0.211408</v>
      </c>
      <c r="E145" s="11" t="n">
        <f aca="false">C145/$B$3</f>
        <v>0.125866</v>
      </c>
    </row>
    <row r="146" customFormat="false" ht="15" hidden="false" customHeight="true" outlineLevel="0" collapsed="false">
      <c r="A146" s="3" t="s">
        <v>944</v>
      </c>
      <c r="B146" s="98" t="n">
        <f aca="false">ROUND(B145-(211407),2)</f>
        <v>1</v>
      </c>
      <c r="C146" s="98" t="n">
        <f aca="false">ROUND(C145-(125866),2)</f>
        <v>0</v>
      </c>
    </row>
    <row r="147" customFormat="false" ht="15" hidden="false" customHeight="true" outlineLevel="0" collapsed="false">
      <c r="A147" s="79" t="s">
        <v>945</v>
      </c>
      <c r="B147" s="86" t="n">
        <v>-317960</v>
      </c>
      <c r="C147" s="86" t="n">
        <v>-24116</v>
      </c>
      <c r="D147" s="84" t="n">
        <f aca="false">B147/$B$3</f>
        <v>-0.31796</v>
      </c>
      <c r="E147" s="84" t="n">
        <f aca="false">C147/$B$3</f>
        <v>-0.024116</v>
      </c>
    </row>
    <row r="148" customFormat="false" ht="15" hidden="false" customHeight="true" outlineLevel="0" collapsed="false">
      <c r="A148" s="79" t="s">
        <v>771</v>
      </c>
      <c r="B148" s="86" t="n">
        <v>-84054</v>
      </c>
      <c r="C148" s="86" t="n">
        <v>62441</v>
      </c>
      <c r="D148" s="84" t="n">
        <f aca="false">B148/$B$3</f>
        <v>-0.084054</v>
      </c>
      <c r="E148" s="84" t="n">
        <f aca="false">C148/$B$3</f>
        <v>0.062441</v>
      </c>
    </row>
    <row r="149" customFormat="false" ht="15" hidden="false" customHeight="true" outlineLevel="0" collapsed="false">
      <c r="A149" s="79" t="s">
        <v>864</v>
      </c>
      <c r="B149" s="86" t="n">
        <v>-568111</v>
      </c>
      <c r="C149" s="86" t="n">
        <v>-125824</v>
      </c>
      <c r="D149" s="84" t="n">
        <f aca="false">B149/$B$3</f>
        <v>-0.568111</v>
      </c>
      <c r="E149" s="84" t="n">
        <f aca="false">C149/$B$3</f>
        <v>-0.125824</v>
      </c>
    </row>
    <row r="150" customFormat="false" ht="15" hidden="false" customHeight="true" outlineLevel="0" collapsed="false">
      <c r="A150" s="79" t="s">
        <v>946</v>
      </c>
      <c r="B150" s="86" t="n">
        <v>-7592830</v>
      </c>
      <c r="C150" s="86" t="n">
        <v>-347356</v>
      </c>
      <c r="D150" s="84" t="n">
        <f aca="false">B150/$B$3</f>
        <v>-7.59283</v>
      </c>
      <c r="E150" s="84" t="n">
        <f aca="false">C150/$B$3</f>
        <v>-0.347356</v>
      </c>
    </row>
    <row r="151" customFormat="false" ht="15" hidden="false" customHeight="true" outlineLevel="0" collapsed="false">
      <c r="A151" s="79" t="s">
        <v>821</v>
      </c>
      <c r="B151" s="86" t="n">
        <v>-1252817</v>
      </c>
      <c r="C151" s="86" t="n">
        <v>-202139</v>
      </c>
      <c r="D151" s="84" t="n">
        <f aca="false">B151/$B$3</f>
        <v>-1.252817</v>
      </c>
      <c r="E151" s="84" t="n">
        <f aca="false">C151/$B$3</f>
        <v>-0.202139</v>
      </c>
    </row>
    <row r="152" customFormat="false" ht="15" hidden="false" customHeight="true" outlineLevel="0" collapsed="false">
      <c r="A152" s="79" t="s">
        <v>869</v>
      </c>
      <c r="B152" s="86" t="n">
        <v>-1854466</v>
      </c>
      <c r="C152" s="86" t="n">
        <v>-160522</v>
      </c>
      <c r="D152" s="84" t="n">
        <f aca="false">B152/$B$3</f>
        <v>-1.854466</v>
      </c>
      <c r="E152" s="84" t="n">
        <f aca="false">C152/$B$3</f>
        <v>-0.160522</v>
      </c>
    </row>
    <row r="153" customFormat="false" ht="15" hidden="false" customHeight="true" outlineLevel="0" collapsed="false">
      <c r="A153" s="79" t="s">
        <v>871</v>
      </c>
      <c r="B153" s="86" t="n">
        <v>0</v>
      </c>
      <c r="C153" s="86" t="n">
        <v>207822</v>
      </c>
      <c r="D153" s="84" t="n">
        <f aca="false">B153/$B$3</f>
        <v>0</v>
      </c>
      <c r="E153" s="84" t="n">
        <f aca="false">C153/$B$3</f>
        <v>0.207822</v>
      </c>
    </row>
    <row r="154" customFormat="false" ht="15" hidden="false" customHeight="true" outlineLevel="0" collapsed="false">
      <c r="A154" s="79" t="s">
        <v>947</v>
      </c>
      <c r="B154" s="86" t="n">
        <v>0</v>
      </c>
      <c r="C154" s="86" t="n">
        <v>2870</v>
      </c>
      <c r="D154" s="84" t="n">
        <f aca="false">B154/$B$3</f>
        <v>0</v>
      </c>
      <c r="E154" s="84" t="n">
        <f aca="false">C154/$B$3</f>
        <v>0.00287</v>
      </c>
    </row>
    <row r="155" customFormat="false" ht="15" hidden="false" customHeight="true" outlineLevel="0" collapsed="false">
      <c r="A155" s="10" t="s">
        <v>39</v>
      </c>
      <c r="B155" s="89" t="n">
        <f aca="false">B145+B147+B148+B149+B150+B151+B152+B153+B154</f>
        <v>-11458830</v>
      </c>
      <c r="C155" s="89" t="n">
        <f aca="false">C145+C147+C148+C149+C150+C151+C152+C153+C154</f>
        <v>-460958</v>
      </c>
      <c r="D155" s="11" t="n">
        <f aca="false">B155/$B$3</f>
        <v>-11.45883</v>
      </c>
      <c r="E155" s="11" t="n">
        <f aca="false">C155/$B$3</f>
        <v>-0.460958</v>
      </c>
    </row>
    <row r="156" customFormat="false" ht="15" hidden="false" customHeight="true" outlineLevel="0" collapsed="false">
      <c r="A156" s="3" t="s">
        <v>948</v>
      </c>
      <c r="B156" s="98" t="n">
        <f aca="false">ROUND(B155-(-11458831),2)</f>
        <v>1</v>
      </c>
      <c r="C156" s="98" t="n">
        <f aca="false">ROUND(C155-(-460958),2)</f>
        <v>0</v>
      </c>
    </row>
    <row r="157" customFormat="false" ht="30" hidden="false" customHeight="true" outlineLevel="0" collapsed="false">
      <c r="A157" s="32" t="s">
        <v>949</v>
      </c>
      <c r="B157" s="32"/>
      <c r="C157" s="32"/>
      <c r="D157" s="32"/>
      <c r="E157" s="32"/>
      <c r="F157" s="32"/>
    </row>
    <row r="159" customFormat="false" ht="15" hidden="false" customHeight="true" outlineLevel="0" collapsed="false">
      <c r="A159" s="70" t="s">
        <v>950</v>
      </c>
    </row>
    <row r="160" customFormat="false" ht="15" hidden="false" customHeight="true" outlineLevel="0" collapsed="false">
      <c r="A160" s="1" t="s">
        <v>951</v>
      </c>
      <c r="B160" s="105" t="n">
        <v>135.86</v>
      </c>
    </row>
    <row r="161" customFormat="false" ht="15" hidden="false" customHeight="true" outlineLevel="0" collapsed="false">
      <c r="A161" s="1" t="s">
        <v>952</v>
      </c>
      <c r="B161" s="105" t="n">
        <v>135.86</v>
      </c>
    </row>
    <row r="162" customFormat="false" ht="15" hidden="false" customHeight="true" outlineLevel="0" collapsed="false">
      <c r="A162" s="1" t="s">
        <v>953</v>
      </c>
      <c r="B162" s="72" t="n">
        <f aca="false">Nota13!F45/1000000</f>
        <v>135.59334111</v>
      </c>
    </row>
    <row r="163" customFormat="false" ht="15" hidden="false" customHeight="true" outlineLevel="0" collapsed="false">
      <c r="A163" s="1" t="s">
        <v>954</v>
      </c>
      <c r="B163" s="106" t="n">
        <f aca="false">B162/B161</f>
        <v>0.998037252392168</v>
      </c>
    </row>
    <row r="164" customFormat="false" ht="15" hidden="false" customHeight="true" outlineLevel="0" collapsed="false">
      <c r="A164" s="1" t="s">
        <v>955</v>
      </c>
      <c r="B164" s="71" t="n">
        <f aca="false">B161-B162</f>
        <v>0.266658890000002</v>
      </c>
    </row>
    <row r="165" customFormat="false" ht="15" hidden="false" customHeight="true" outlineLevel="0" collapsed="false">
      <c r="A165" s="1" t="s">
        <v>956</v>
      </c>
      <c r="B165" s="71" t="n">
        <f aca="false">-D75</f>
        <v>142.888</v>
      </c>
    </row>
    <row r="166" customFormat="false" ht="15" hidden="false" customHeight="true" outlineLevel="0" collapsed="false">
      <c r="A166" s="75" t="s">
        <v>957</v>
      </c>
    </row>
    <row r="168" customFormat="false" ht="15" hidden="false" customHeight="true" outlineLevel="0" collapsed="false">
      <c r="A168" s="70" t="s">
        <v>958</v>
      </c>
    </row>
    <row r="169" customFormat="false" ht="15" hidden="false" customHeight="true" outlineLevel="0" collapsed="false">
      <c r="A169" s="107" t="s">
        <v>959</v>
      </c>
      <c r="B169" s="107" t="s">
        <v>960</v>
      </c>
      <c r="C169" s="107" t="s">
        <v>961</v>
      </c>
      <c r="D169" s="107" t="s">
        <v>962</v>
      </c>
    </row>
    <row r="170" customFormat="false" ht="15" hidden="false" customHeight="true" outlineLevel="0" collapsed="false">
      <c r="A170" s="1" t="s">
        <v>963</v>
      </c>
      <c r="B170" s="108" t="n">
        <v>145242</v>
      </c>
      <c r="C170" s="108" t="n">
        <v>142986</v>
      </c>
    </row>
    <row r="171" customFormat="false" ht="15" hidden="false" customHeight="true" outlineLevel="0" collapsed="false">
      <c r="A171" s="1" t="s">
        <v>964</v>
      </c>
      <c r="B171" s="108" t="n">
        <v>159292</v>
      </c>
      <c r="C171" s="108" t="n">
        <v>148342</v>
      </c>
      <c r="D171" s="106" t="n">
        <f aca="false">C171/C170-1</f>
        <v>0.0374582126921517</v>
      </c>
    </row>
    <row r="172" customFormat="false" ht="15" hidden="false" customHeight="true" outlineLevel="0" collapsed="false">
      <c r="A172" s="1" t="s">
        <v>5</v>
      </c>
      <c r="B172" s="108" t="n">
        <v>151206</v>
      </c>
      <c r="C172" s="108" t="n">
        <v>151206</v>
      </c>
      <c r="D172" s="106" t="n">
        <f aca="false">C172/C171-1</f>
        <v>0.0193067371344595</v>
      </c>
    </row>
    <row r="173" customFormat="false" ht="15" hidden="false" customHeight="true" outlineLevel="0" collapsed="false">
      <c r="A173" s="1" t="s">
        <v>4</v>
      </c>
      <c r="B173" s="108" t="n">
        <v>143918</v>
      </c>
      <c r="C173" s="108" t="n">
        <v>143918</v>
      </c>
      <c r="D173" s="106" t="n">
        <f aca="false">C173/C172-1</f>
        <v>-0.0481991455365528</v>
      </c>
    </row>
    <row r="174" customFormat="false" ht="15" hidden="false" customHeight="true" outlineLevel="0" collapsed="false">
      <c r="A174" s="1" t="s">
        <v>3</v>
      </c>
      <c r="B174" s="108" t="n">
        <v>135860</v>
      </c>
      <c r="C174" s="108" t="n">
        <v>135860</v>
      </c>
      <c r="D174" s="106" t="n">
        <f aca="false">C174/C173-1</f>
        <v>-0.0559902166511486</v>
      </c>
    </row>
    <row r="175" customFormat="false" ht="15" hidden="false" customHeight="true" outlineLevel="0" collapsed="false">
      <c r="A175" s="1" t="s">
        <v>965</v>
      </c>
      <c r="B175" s="108" t="n">
        <v>173084</v>
      </c>
      <c r="C175" s="108" t="n">
        <v>173084</v>
      </c>
      <c r="D175" s="106" t="n">
        <f aca="false">C175/C174-1</f>
        <v>0.273987928750184</v>
      </c>
    </row>
    <row r="176" customFormat="false" ht="15" hidden="false" customHeight="true" outlineLevel="0" collapsed="false">
      <c r="A176" s="75" t="s">
        <v>966</v>
      </c>
    </row>
  </sheetData>
  <mergeCells count="16">
    <mergeCell ref="A6:F6"/>
    <mergeCell ref="A9:F9"/>
    <mergeCell ref="A26:F26"/>
    <mergeCell ref="A53:F53"/>
    <mergeCell ref="A54:F54"/>
    <mergeCell ref="A66:F66"/>
    <mergeCell ref="A67:F67"/>
    <mergeCell ref="A86:F86"/>
    <mergeCell ref="A87:F87"/>
    <mergeCell ref="A88:F88"/>
    <mergeCell ref="A91:F91"/>
    <mergeCell ref="A128:F128"/>
    <mergeCell ref="A129:F129"/>
    <mergeCell ref="A130:F130"/>
    <mergeCell ref="A137:F137"/>
    <mergeCell ref="A157:F15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0"/>
    <col collapsed="false" customWidth="true" hidden="false" outlineLevel="0" max="5" min="2" style="1" width="15"/>
  </cols>
  <sheetData>
    <row r="1" customFormat="false" ht="17.25" hidden="false" customHeight="true" outlineLevel="0" collapsed="false">
      <c r="A1" s="2" t="s">
        <v>967</v>
      </c>
    </row>
    <row r="2" customFormat="false" ht="15" hidden="false" customHeight="true" outlineLevel="0" collapsed="false">
      <c r="A2" s="3" t="s">
        <v>968</v>
      </c>
    </row>
    <row r="3" customFormat="false" ht="15" hidden="false" customHeight="true" outlineLevel="0" collapsed="false">
      <c r="D3" s="10" t="s">
        <v>969</v>
      </c>
      <c r="F3" s="85" t="str">
        <f aca="false">IF(AND(ABS(B16)&lt;=2,ABS(C16)&lt;=2,ABS(B27)&lt;=2,ABS(C27)&lt;=2,ABS(B29)&lt;=2,ABS(C29)&lt;=2,ABS(B41)&lt;=2,ABS(C41)&lt;=2,ABS(B48)&lt;=2,ABS(C48)&lt;=2,ABS(B58)&lt;=2,ABS(C58)&lt;=2,ABS(B60)&lt;=2,ABS(C60)&lt;=2,ABS(B61)&lt;=1,ABS(C61)&lt;=1,ABS(B78)&lt;=2,ABS(C78)&lt;=2,ABS(B84)&lt;=2,ABS(C84)&lt;=2,ABS(B96)&lt;=2,ABS(C96)&lt;=2,ABS(B105)&lt;=2,ABS(C105)&lt;=2,ABS(B111)&lt;=2,ABS(C111)&lt;=2,ABS(B116)&lt;=2,ABS(C116)&lt;=2,ABS(B119)&lt;=2,ABS(C119)&lt;=2,ABS(B123)&lt;=2,ABS(C123)&lt;=2,ABS(B126)&lt;=2,ABS(C126)&lt;=2,ABS(B127)&lt;=1,ABS(C127)&lt;=1),"OK","REVISAR")</f>
        <v>OK</v>
      </c>
    </row>
    <row r="5" customFormat="false" ht="15" hidden="false" customHeight="true" outlineLevel="0" collapsed="false">
      <c r="A5" s="5" t="s">
        <v>970</v>
      </c>
      <c r="B5" s="6"/>
      <c r="C5" s="6"/>
      <c r="D5" s="6"/>
      <c r="E5" s="6"/>
    </row>
    <row r="6" customFormat="false" ht="15" hidden="false" customHeight="true" outlineLevel="0" collapsed="false">
      <c r="A6" s="4" t="s">
        <v>971</v>
      </c>
      <c r="B6" s="4" t="s">
        <v>194</v>
      </c>
      <c r="C6" s="4" t="s">
        <v>195</v>
      </c>
      <c r="D6" s="4" t="s">
        <v>196</v>
      </c>
      <c r="E6" s="4" t="s">
        <v>197</v>
      </c>
    </row>
    <row r="7" customFormat="false" ht="15" hidden="false" customHeight="true" outlineLevel="0" collapsed="false">
      <c r="A7" s="7" t="s">
        <v>972</v>
      </c>
      <c r="B7" s="86" t="n">
        <v>66225032</v>
      </c>
      <c r="C7" s="86" t="n">
        <v>47480651</v>
      </c>
      <c r="D7" s="84" t="n">
        <f aca="false">B7/1000000</f>
        <v>66.225032</v>
      </c>
      <c r="E7" s="84" t="n">
        <f aca="false">C7/1000000</f>
        <v>47.480651</v>
      </c>
    </row>
    <row r="8" customFormat="false" ht="15" hidden="false" customHeight="true" outlineLevel="0" collapsed="false">
      <c r="A8" s="7" t="s">
        <v>973</v>
      </c>
      <c r="B8" s="86" t="n">
        <v>72419361</v>
      </c>
      <c r="C8" s="86" t="n">
        <v>73139215</v>
      </c>
      <c r="D8" s="84" t="n">
        <f aca="false">B8/1000000</f>
        <v>72.419361</v>
      </c>
      <c r="E8" s="84" t="n">
        <f aca="false">C8/1000000</f>
        <v>73.139215</v>
      </c>
    </row>
    <row r="9" customFormat="false" ht="15" hidden="false" customHeight="true" outlineLevel="0" collapsed="false">
      <c r="A9" s="7" t="s">
        <v>974</v>
      </c>
      <c r="B9" s="86" t="n">
        <v>143497</v>
      </c>
      <c r="C9" s="86" t="n">
        <v>152466</v>
      </c>
      <c r="D9" s="84" t="n">
        <f aca="false">B9/1000000</f>
        <v>0.143497</v>
      </c>
      <c r="E9" s="84" t="n">
        <f aca="false">C9/1000000</f>
        <v>0.152466</v>
      </c>
    </row>
    <row r="10" customFormat="false" ht="15" hidden="false" customHeight="true" outlineLevel="0" collapsed="false">
      <c r="A10" s="7" t="s">
        <v>975</v>
      </c>
      <c r="B10" s="86" t="n">
        <v>1160000</v>
      </c>
      <c r="C10" s="86" t="n">
        <v>1468977</v>
      </c>
      <c r="D10" s="84" t="n">
        <f aca="false">B10/1000000</f>
        <v>1.16</v>
      </c>
      <c r="E10" s="84" t="n">
        <f aca="false">C10/1000000</f>
        <v>1.468977</v>
      </c>
    </row>
    <row r="11" customFormat="false" ht="15" hidden="false" customHeight="true" outlineLevel="0" collapsed="false">
      <c r="A11" s="7" t="s">
        <v>976</v>
      </c>
      <c r="B11" s="86" t="n">
        <v>24797796</v>
      </c>
      <c r="C11" s="86" t="n">
        <v>24744431</v>
      </c>
      <c r="D11" s="84" t="n">
        <f aca="false">B11/1000000</f>
        <v>24.797796</v>
      </c>
      <c r="E11" s="84" t="n">
        <f aca="false">C11/1000000</f>
        <v>24.744431</v>
      </c>
    </row>
    <row r="12" customFormat="false" ht="15" hidden="false" customHeight="true" outlineLevel="0" collapsed="false">
      <c r="A12" s="7" t="s">
        <v>977</v>
      </c>
      <c r="B12" s="86" t="n">
        <v>2845418</v>
      </c>
      <c r="C12" s="86" t="n">
        <v>2845418</v>
      </c>
      <c r="D12" s="84" t="n">
        <f aca="false">B12/1000000</f>
        <v>2.845418</v>
      </c>
      <c r="E12" s="84" t="n">
        <f aca="false">C12/1000000</f>
        <v>2.845418</v>
      </c>
    </row>
    <row r="13" customFormat="false" ht="15" hidden="false" customHeight="true" outlineLevel="0" collapsed="false">
      <c r="A13" s="7" t="s">
        <v>978</v>
      </c>
      <c r="B13" s="86" t="n">
        <v>2000</v>
      </c>
      <c r="C13" s="86" t="n">
        <v>2000</v>
      </c>
      <c r="D13" s="84" t="n">
        <f aca="false">B13/1000000</f>
        <v>0.002</v>
      </c>
      <c r="E13" s="84" t="n">
        <f aca="false">C13/1000000</f>
        <v>0.002</v>
      </c>
    </row>
    <row r="14" customFormat="false" ht="15" hidden="false" customHeight="true" outlineLevel="0" collapsed="false">
      <c r="A14" s="7" t="s">
        <v>979</v>
      </c>
      <c r="B14" s="86" t="n">
        <v>2768656</v>
      </c>
      <c r="C14" s="86" t="n">
        <v>2793329</v>
      </c>
      <c r="D14" s="84" t="n">
        <f aca="false">B14/1000000</f>
        <v>2.768656</v>
      </c>
      <c r="E14" s="84" t="n">
        <f aca="false">C14/1000000</f>
        <v>2.793329</v>
      </c>
    </row>
    <row r="15" customFormat="false" ht="15" hidden="false" customHeight="true" outlineLevel="0" collapsed="false">
      <c r="A15" s="10" t="s">
        <v>980</v>
      </c>
      <c r="B15" s="87" t="n">
        <f aca="false">B7+B8+B9+B10+B11+B12+B13+B14</f>
        <v>170361760</v>
      </c>
      <c r="C15" s="87" t="n">
        <f aca="false">C7+C8+C9+C10+C11+C12+C13+C14</f>
        <v>152626487</v>
      </c>
      <c r="D15" s="11" t="n">
        <f aca="false">B15/1000000</f>
        <v>170.36176</v>
      </c>
      <c r="E15" s="11" t="n">
        <f aca="false">C15/1000000</f>
        <v>152.626487</v>
      </c>
    </row>
    <row r="16" customFormat="false" ht="15" hidden="false" customHeight="true" outlineLevel="0" collapsed="false">
      <c r="A16" s="3" t="s">
        <v>981</v>
      </c>
      <c r="B16" s="98" t="n">
        <f aca="false">B15-(170361759)</f>
        <v>1</v>
      </c>
      <c r="C16" s="98" t="n">
        <f aca="false">C15-(152626487)</f>
        <v>0</v>
      </c>
    </row>
    <row r="17" customFormat="false" ht="15" hidden="false" customHeight="true" outlineLevel="0" collapsed="false">
      <c r="A17" s="7" t="s">
        <v>982</v>
      </c>
      <c r="B17" s="86" t="n">
        <v>567922</v>
      </c>
      <c r="C17" s="86" t="n">
        <v>607760</v>
      </c>
      <c r="D17" s="84" t="n">
        <f aca="false">B17/1000000</f>
        <v>0.567922</v>
      </c>
      <c r="E17" s="84" t="n">
        <f aca="false">C17/1000000</f>
        <v>0.60776</v>
      </c>
    </row>
    <row r="18" customFormat="false" ht="15" hidden="false" customHeight="true" outlineLevel="0" collapsed="false">
      <c r="A18" s="7" t="s">
        <v>983</v>
      </c>
      <c r="B18" s="86" t="n">
        <v>433291</v>
      </c>
      <c r="C18" s="86" t="n">
        <v>262330</v>
      </c>
      <c r="D18" s="84" t="n">
        <f aca="false">B18/1000000</f>
        <v>0.433291</v>
      </c>
      <c r="E18" s="84" t="n">
        <f aca="false">C18/1000000</f>
        <v>0.26233</v>
      </c>
    </row>
    <row r="19" customFormat="false" ht="15" hidden="false" customHeight="true" outlineLevel="0" collapsed="false">
      <c r="A19" s="109" t="s">
        <v>984</v>
      </c>
      <c r="B19" s="86" t="n">
        <v>127476363</v>
      </c>
      <c r="C19" s="86" t="n">
        <v>72447090</v>
      </c>
      <c r="D19" s="84" t="n">
        <f aca="false">B19/1000000</f>
        <v>127.476363</v>
      </c>
      <c r="E19" s="84" t="n">
        <f aca="false">C19/1000000</f>
        <v>72.44709</v>
      </c>
    </row>
    <row r="20" customFormat="false" ht="15" hidden="false" customHeight="true" outlineLevel="0" collapsed="false">
      <c r="A20" s="7" t="s">
        <v>985</v>
      </c>
      <c r="B20" s="86" t="n">
        <v>8980651</v>
      </c>
      <c r="C20" s="86" t="n">
        <v>10782533</v>
      </c>
      <c r="D20" s="84" t="n">
        <f aca="false">B20/1000000</f>
        <v>8.980651</v>
      </c>
      <c r="E20" s="84" t="n">
        <f aca="false">C20/1000000</f>
        <v>10.782533</v>
      </c>
    </row>
    <row r="21" customFormat="false" ht="15" hidden="false" customHeight="true" outlineLevel="0" collapsed="false">
      <c r="A21" s="7" t="s">
        <v>986</v>
      </c>
      <c r="B21" s="86" t="n">
        <v>185778</v>
      </c>
      <c r="C21" s="86" t="n">
        <v>47289</v>
      </c>
      <c r="D21" s="84" t="n">
        <f aca="false">B21/1000000</f>
        <v>0.185778</v>
      </c>
      <c r="E21" s="84" t="n">
        <f aca="false">C21/1000000</f>
        <v>0.047289</v>
      </c>
    </row>
    <row r="22" customFormat="false" ht="15" hidden="false" customHeight="true" outlineLevel="0" collapsed="false">
      <c r="A22" s="7" t="s">
        <v>987</v>
      </c>
      <c r="B22" s="86" t="n">
        <v>4242</v>
      </c>
      <c r="C22" s="86" t="n">
        <v>27447</v>
      </c>
      <c r="D22" s="84" t="n">
        <f aca="false">B22/1000000</f>
        <v>0.004242</v>
      </c>
      <c r="E22" s="84" t="n">
        <f aca="false">C22/1000000</f>
        <v>0.027447</v>
      </c>
    </row>
    <row r="23" customFormat="false" ht="15" hidden="false" customHeight="true" outlineLevel="0" collapsed="false">
      <c r="A23" s="7" t="s">
        <v>988</v>
      </c>
      <c r="B23" s="86" t="n">
        <v>132169</v>
      </c>
      <c r="C23" s="86" t="n">
        <v>133538</v>
      </c>
      <c r="D23" s="84" t="n">
        <f aca="false">B23/1000000</f>
        <v>0.132169</v>
      </c>
      <c r="E23" s="84" t="n">
        <f aca="false">C23/1000000</f>
        <v>0.133538</v>
      </c>
    </row>
    <row r="24" customFormat="false" ht="15" hidden="false" customHeight="true" outlineLevel="0" collapsed="false">
      <c r="A24" s="7" t="s">
        <v>989</v>
      </c>
      <c r="B24" s="86" t="n">
        <v>105170</v>
      </c>
      <c r="C24" s="86" t="n">
        <v>0</v>
      </c>
      <c r="D24" s="84" t="n">
        <f aca="false">B24/1000000</f>
        <v>0.10517</v>
      </c>
      <c r="E24" s="84" t="n">
        <f aca="false">C24/1000000</f>
        <v>0</v>
      </c>
    </row>
    <row r="25" customFormat="false" ht="15" hidden="false" customHeight="true" outlineLevel="0" collapsed="false">
      <c r="A25" s="7" t="s">
        <v>990</v>
      </c>
      <c r="B25" s="86" t="n">
        <v>17587696</v>
      </c>
      <c r="C25" s="86" t="n">
        <v>47616789</v>
      </c>
      <c r="D25" s="84" t="n">
        <f aca="false">B25/1000000</f>
        <v>17.587696</v>
      </c>
      <c r="E25" s="84" t="n">
        <f aca="false">C25/1000000</f>
        <v>47.616789</v>
      </c>
    </row>
    <row r="26" customFormat="false" ht="15" hidden="false" customHeight="true" outlineLevel="0" collapsed="false">
      <c r="A26" s="10" t="s">
        <v>991</v>
      </c>
      <c r="B26" s="87" t="n">
        <f aca="false">B17+B18+B19+B20+B21+B22+B23+B24+B25</f>
        <v>155473282</v>
      </c>
      <c r="C26" s="87" t="n">
        <f aca="false">C17+C18+C19+C20+C21+C22+C23+C24+C25</f>
        <v>131924776</v>
      </c>
      <c r="D26" s="11" t="n">
        <f aca="false">B26/1000000</f>
        <v>155.473282</v>
      </c>
      <c r="E26" s="11" t="n">
        <f aca="false">C26/1000000</f>
        <v>131.924776</v>
      </c>
    </row>
    <row r="27" customFormat="false" ht="15" hidden="false" customHeight="true" outlineLevel="0" collapsed="false">
      <c r="A27" s="3" t="s">
        <v>981</v>
      </c>
      <c r="B27" s="98" t="n">
        <f aca="false">B26-(155473283)</f>
        <v>-1</v>
      </c>
      <c r="C27" s="98" t="n">
        <f aca="false">C26-(131924775)</f>
        <v>1</v>
      </c>
    </row>
    <row r="28" customFormat="false" ht="15" hidden="false" customHeight="true" outlineLevel="0" collapsed="false">
      <c r="A28" s="10" t="s">
        <v>992</v>
      </c>
      <c r="B28" s="89" t="n">
        <f aca="false">B15+B26</f>
        <v>325835042</v>
      </c>
      <c r="C28" s="89" t="n">
        <f aca="false">C15+C26</f>
        <v>284551263</v>
      </c>
      <c r="D28" s="11" t="n">
        <f aca="false">B28/1000000</f>
        <v>325.835042</v>
      </c>
      <c r="E28" s="11" t="n">
        <f aca="false">C28/1000000</f>
        <v>284.551263</v>
      </c>
    </row>
    <row r="29" customFormat="false" ht="15" hidden="false" customHeight="true" outlineLevel="0" collapsed="false">
      <c r="A29" s="3" t="s">
        <v>981</v>
      </c>
      <c r="B29" s="98" t="n">
        <f aca="false">B28-(325835042)</f>
        <v>0</v>
      </c>
      <c r="C29" s="98" t="n">
        <f aca="false">C28-(284551262)</f>
        <v>1</v>
      </c>
    </row>
    <row r="31" customFormat="false" ht="15" hidden="false" customHeight="true" outlineLevel="0" collapsed="false">
      <c r="A31" s="5" t="s">
        <v>993</v>
      </c>
      <c r="B31" s="6"/>
      <c r="C31" s="6"/>
      <c r="D31" s="6"/>
      <c r="E31" s="6"/>
    </row>
    <row r="32" customFormat="false" ht="15" hidden="false" customHeight="true" outlineLevel="0" collapsed="false">
      <c r="A32" s="4" t="s">
        <v>971</v>
      </c>
      <c r="B32" s="4" t="s">
        <v>194</v>
      </c>
      <c r="C32" s="4" t="s">
        <v>195</v>
      </c>
      <c r="D32" s="4" t="s">
        <v>196</v>
      </c>
      <c r="E32" s="4" t="s">
        <v>197</v>
      </c>
    </row>
    <row r="33" customFormat="false" ht="15" hidden="false" customHeight="true" outlineLevel="0" collapsed="false">
      <c r="A33" s="7" t="s">
        <v>994</v>
      </c>
      <c r="B33" s="86" t="n">
        <v>69575336</v>
      </c>
      <c r="C33" s="86" t="n">
        <v>69575336</v>
      </c>
      <c r="D33" s="84" t="n">
        <f aca="false">B33/1000000</f>
        <v>69.575336</v>
      </c>
      <c r="E33" s="84" t="n">
        <f aca="false">C33/1000000</f>
        <v>69.575336</v>
      </c>
    </row>
    <row r="34" customFormat="false" ht="15" hidden="false" customHeight="true" outlineLevel="0" collapsed="false">
      <c r="A34" s="7" t="s">
        <v>995</v>
      </c>
      <c r="B34" s="86" t="n">
        <v>4269526</v>
      </c>
      <c r="C34" s="86" t="n">
        <v>3710327</v>
      </c>
      <c r="D34" s="84" t="n">
        <f aca="false">B34/1000000</f>
        <v>4.269526</v>
      </c>
      <c r="E34" s="84" t="n">
        <f aca="false">C34/1000000</f>
        <v>3.710327</v>
      </c>
    </row>
    <row r="35" customFormat="false" ht="15" hidden="false" customHeight="true" outlineLevel="0" collapsed="false">
      <c r="A35" s="7" t="s">
        <v>996</v>
      </c>
      <c r="B35" s="86" t="n">
        <v>8925388</v>
      </c>
      <c r="C35" s="86" t="n">
        <v>9484587</v>
      </c>
      <c r="D35" s="84" t="n">
        <f aca="false">B35/1000000</f>
        <v>8.925388</v>
      </c>
      <c r="E35" s="84" t="n">
        <f aca="false">C35/1000000</f>
        <v>9.484587</v>
      </c>
    </row>
    <row r="36" customFormat="false" ht="15" hidden="false" customHeight="true" outlineLevel="0" collapsed="false">
      <c r="A36" s="7" t="s">
        <v>997</v>
      </c>
      <c r="B36" s="86" t="n">
        <v>-14121237</v>
      </c>
      <c r="C36" s="86" t="n">
        <v>0</v>
      </c>
      <c r="D36" s="84" t="n">
        <f aca="false">B36/1000000</f>
        <v>-14.121237</v>
      </c>
      <c r="E36" s="84" t="n">
        <f aca="false">C36/1000000</f>
        <v>0</v>
      </c>
    </row>
    <row r="37" customFormat="false" ht="15" hidden="false" customHeight="true" outlineLevel="0" collapsed="false">
      <c r="A37" s="7" t="s">
        <v>998</v>
      </c>
      <c r="B37" s="86" t="n">
        <v>1028977</v>
      </c>
      <c r="C37" s="86" t="n">
        <v>1028977</v>
      </c>
      <c r="D37" s="84" t="n">
        <f aca="false">B37/1000000</f>
        <v>1.028977</v>
      </c>
      <c r="E37" s="84" t="n">
        <f aca="false">C37/1000000</f>
        <v>1.028977</v>
      </c>
    </row>
    <row r="38" customFormat="false" ht="15" hidden="false" customHeight="true" outlineLevel="0" collapsed="false">
      <c r="A38" s="7" t="s">
        <v>999</v>
      </c>
      <c r="B38" s="86" t="n">
        <v>13711249</v>
      </c>
      <c r="C38" s="86" t="n">
        <v>-14121237</v>
      </c>
      <c r="D38" s="84" t="n">
        <f aca="false">B38/1000000</f>
        <v>13.711249</v>
      </c>
      <c r="E38" s="84" t="n">
        <f aca="false">C38/1000000</f>
        <v>-14.121237</v>
      </c>
    </row>
    <row r="39" customFormat="false" ht="15" hidden="false" customHeight="true" outlineLevel="0" collapsed="false">
      <c r="A39" s="7" t="s">
        <v>1000</v>
      </c>
      <c r="B39" s="86" t="n">
        <v>670547</v>
      </c>
      <c r="C39" s="86" t="n">
        <v>831070</v>
      </c>
      <c r="D39" s="84" t="n">
        <f aca="false">B39/1000000</f>
        <v>0.670547</v>
      </c>
      <c r="E39" s="84" t="n">
        <f aca="false">C39/1000000</f>
        <v>0.83107</v>
      </c>
    </row>
    <row r="40" customFormat="false" ht="15" hidden="false" customHeight="true" outlineLevel="0" collapsed="false">
      <c r="A40" s="10" t="s">
        <v>1001</v>
      </c>
      <c r="B40" s="87" t="n">
        <f aca="false">B33+B34+B35+B36+B37+B38+B39</f>
        <v>84059786</v>
      </c>
      <c r="C40" s="87" t="n">
        <f aca="false">C33+C34+C35+C36+C37+C38+C39</f>
        <v>70509060</v>
      </c>
      <c r="D40" s="11" t="n">
        <f aca="false">B40/1000000</f>
        <v>84.059786</v>
      </c>
      <c r="E40" s="11" t="n">
        <f aca="false">C40/1000000</f>
        <v>70.50906</v>
      </c>
    </row>
    <row r="41" customFormat="false" ht="15" hidden="false" customHeight="true" outlineLevel="0" collapsed="false">
      <c r="A41" s="3" t="s">
        <v>981</v>
      </c>
      <c r="B41" s="98" t="n">
        <f aca="false">B40-(84059785)</f>
        <v>1</v>
      </c>
      <c r="C41" s="98" t="n">
        <f aca="false">C40-(70509059)</f>
        <v>1</v>
      </c>
    </row>
    <row r="42" customFormat="false" ht="15" hidden="false" customHeight="true" outlineLevel="0" collapsed="false">
      <c r="A42" s="7" t="s">
        <v>1002</v>
      </c>
      <c r="B42" s="86" t="n">
        <v>682992</v>
      </c>
      <c r="C42" s="86" t="n">
        <v>682992</v>
      </c>
      <c r="D42" s="84" t="n">
        <f aca="false">B42/1000000</f>
        <v>0.682992</v>
      </c>
      <c r="E42" s="84" t="n">
        <f aca="false">C42/1000000</f>
        <v>0.682992</v>
      </c>
    </row>
    <row r="43" customFormat="false" ht="15" hidden="false" customHeight="true" outlineLevel="0" collapsed="false">
      <c r="A43" s="109" t="s">
        <v>1003</v>
      </c>
      <c r="B43" s="86" t="n">
        <v>18261935</v>
      </c>
      <c r="C43" s="86" t="n">
        <v>6083983</v>
      </c>
      <c r="D43" s="84" t="n">
        <f aca="false">B43/1000000</f>
        <v>18.261935</v>
      </c>
      <c r="E43" s="84" t="n">
        <f aca="false">C43/1000000</f>
        <v>6.083983</v>
      </c>
    </row>
    <row r="44" customFormat="false" ht="15" hidden="false" customHeight="true" outlineLevel="0" collapsed="false">
      <c r="A44" s="7" t="s">
        <v>1004</v>
      </c>
      <c r="B44" s="86" t="n">
        <v>1016667</v>
      </c>
      <c r="C44" s="86" t="n">
        <v>875000</v>
      </c>
      <c r="D44" s="84" t="n">
        <f aca="false">B44/1000000</f>
        <v>1.016667</v>
      </c>
      <c r="E44" s="84" t="n">
        <f aca="false">C44/1000000</f>
        <v>0.875</v>
      </c>
    </row>
    <row r="45" customFormat="false" ht="15" hidden="false" customHeight="true" outlineLevel="0" collapsed="false">
      <c r="A45" s="7" t="s">
        <v>1005</v>
      </c>
      <c r="B45" s="86" t="n">
        <v>111734510</v>
      </c>
      <c r="C45" s="86" t="n">
        <v>111396241</v>
      </c>
      <c r="D45" s="84" t="n">
        <f aca="false">B45/1000000</f>
        <v>111.73451</v>
      </c>
      <c r="E45" s="84" t="n">
        <f aca="false">C45/1000000</f>
        <v>111.396241</v>
      </c>
    </row>
    <row r="46" customFormat="false" ht="15" hidden="false" customHeight="true" outlineLevel="0" collapsed="false">
      <c r="A46" s="7" t="s">
        <v>1006</v>
      </c>
      <c r="B46" s="86" t="n">
        <v>5890950</v>
      </c>
      <c r="C46" s="86" t="n">
        <v>615646</v>
      </c>
      <c r="D46" s="84" t="n">
        <f aca="false">B46/1000000</f>
        <v>5.89095</v>
      </c>
      <c r="E46" s="84" t="n">
        <f aca="false">C46/1000000</f>
        <v>0.615646</v>
      </c>
    </row>
    <row r="47" customFormat="false" ht="15" hidden="false" customHeight="true" outlineLevel="0" collapsed="false">
      <c r="A47" s="10" t="s">
        <v>1007</v>
      </c>
      <c r="B47" s="87" t="n">
        <f aca="false">B42+B43+B44+B45+B46</f>
        <v>137587054</v>
      </c>
      <c r="C47" s="87" t="n">
        <f aca="false">C42+C43+C44+C45+C46</f>
        <v>119653862</v>
      </c>
      <c r="D47" s="11" t="n">
        <f aca="false">B47/1000000</f>
        <v>137.587054</v>
      </c>
      <c r="E47" s="11" t="n">
        <f aca="false">C47/1000000</f>
        <v>119.653862</v>
      </c>
    </row>
    <row r="48" customFormat="false" ht="15" hidden="false" customHeight="true" outlineLevel="0" collapsed="false">
      <c r="A48" s="3" t="s">
        <v>981</v>
      </c>
      <c r="B48" s="98" t="n">
        <f aca="false">B47-(137587054)</f>
        <v>0</v>
      </c>
      <c r="C48" s="98" t="n">
        <f aca="false">C47-(119653862)</f>
        <v>0</v>
      </c>
    </row>
    <row r="49" customFormat="false" ht="15" hidden="false" customHeight="true" outlineLevel="0" collapsed="false">
      <c r="A49" s="109" t="s">
        <v>1008</v>
      </c>
      <c r="B49" s="86" t="n">
        <v>18341</v>
      </c>
      <c r="C49" s="86" t="n">
        <v>27463</v>
      </c>
      <c r="D49" s="84" t="n">
        <f aca="false">B49/1000000</f>
        <v>0.018341</v>
      </c>
      <c r="E49" s="84" t="n">
        <f aca="false">C49/1000000</f>
        <v>0.027463</v>
      </c>
    </row>
    <row r="50" customFormat="false" ht="15" hidden="false" customHeight="true" outlineLevel="0" collapsed="false">
      <c r="A50" s="7" t="s">
        <v>1009</v>
      </c>
      <c r="B50" s="86" t="n">
        <v>2819430</v>
      </c>
      <c r="C50" s="86" t="n">
        <v>3727457</v>
      </c>
      <c r="D50" s="84" t="n">
        <f aca="false">B50/1000000</f>
        <v>2.81943</v>
      </c>
      <c r="E50" s="84" t="n">
        <f aca="false">C50/1000000</f>
        <v>3.727457</v>
      </c>
    </row>
    <row r="51" customFormat="false" ht="15" hidden="false" customHeight="true" outlineLevel="0" collapsed="false">
      <c r="A51" s="7" t="s">
        <v>1010</v>
      </c>
      <c r="B51" s="86" t="n">
        <v>9277881</v>
      </c>
      <c r="C51" s="86" t="n">
        <v>16396277</v>
      </c>
      <c r="D51" s="84" t="n">
        <f aca="false">B51/1000000</f>
        <v>9.277881</v>
      </c>
      <c r="E51" s="84" t="n">
        <f aca="false">C51/1000000</f>
        <v>16.396277</v>
      </c>
    </row>
    <row r="52" customFormat="false" ht="15" hidden="false" customHeight="true" outlineLevel="0" collapsed="false">
      <c r="A52" s="109" t="s">
        <v>1011</v>
      </c>
      <c r="B52" s="86" t="n">
        <v>29445025</v>
      </c>
      <c r="C52" s="86" t="n">
        <v>21463499</v>
      </c>
      <c r="D52" s="84" t="n">
        <f aca="false">B52/1000000</f>
        <v>29.445025</v>
      </c>
      <c r="E52" s="84" t="n">
        <f aca="false">C52/1000000</f>
        <v>21.463499</v>
      </c>
    </row>
    <row r="53" customFormat="false" ht="15" hidden="false" customHeight="true" outlineLevel="0" collapsed="false">
      <c r="A53" s="7" t="s">
        <v>1012</v>
      </c>
      <c r="B53" s="86" t="n">
        <v>45671028</v>
      </c>
      <c r="C53" s="86" t="n">
        <v>47029898</v>
      </c>
      <c r="D53" s="84" t="n">
        <f aca="false">B53/1000000</f>
        <v>45.671028</v>
      </c>
      <c r="E53" s="84" t="n">
        <f aca="false">C53/1000000</f>
        <v>47.029898</v>
      </c>
    </row>
    <row r="54" customFormat="false" ht="15" hidden="false" customHeight="true" outlineLevel="0" collapsed="false">
      <c r="A54" s="7" t="s">
        <v>1013</v>
      </c>
      <c r="B54" s="86" t="n">
        <v>342228</v>
      </c>
      <c r="C54" s="86" t="n">
        <v>405116</v>
      </c>
      <c r="D54" s="84" t="n">
        <f aca="false">B54/1000000</f>
        <v>0.342228</v>
      </c>
      <c r="E54" s="84" t="n">
        <f aca="false">C54/1000000</f>
        <v>0.405116</v>
      </c>
    </row>
    <row r="55" customFormat="false" ht="15" hidden="false" customHeight="true" outlineLevel="0" collapsed="false">
      <c r="A55" s="7" t="s">
        <v>1014</v>
      </c>
      <c r="B55" s="86" t="n">
        <v>14490108</v>
      </c>
      <c r="C55" s="86" t="n">
        <v>5164304</v>
      </c>
      <c r="D55" s="84" t="n">
        <f aca="false">B55/1000000</f>
        <v>14.490108</v>
      </c>
      <c r="E55" s="84" t="n">
        <f aca="false">C55/1000000</f>
        <v>5.164304</v>
      </c>
    </row>
    <row r="56" customFormat="false" ht="15" hidden="false" customHeight="true" outlineLevel="0" collapsed="false">
      <c r="A56" s="7" t="s">
        <v>1015</v>
      </c>
      <c r="B56" s="86" t="n">
        <v>2124161</v>
      </c>
      <c r="C56" s="86" t="n">
        <v>174326</v>
      </c>
      <c r="D56" s="84" t="n">
        <f aca="false">B56/1000000</f>
        <v>2.124161</v>
      </c>
      <c r="E56" s="84" t="n">
        <f aca="false">C56/1000000</f>
        <v>0.174326</v>
      </c>
    </row>
    <row r="57" customFormat="false" ht="15" hidden="false" customHeight="true" outlineLevel="0" collapsed="false">
      <c r="A57" s="10" t="s">
        <v>1016</v>
      </c>
      <c r="B57" s="87" t="n">
        <f aca="false">B49+B50+B51+B52+B53+B54+B55+B56</f>
        <v>104188202</v>
      </c>
      <c r="C57" s="87" t="n">
        <f aca="false">C49+C50+C51+C52+C53+C54+C55+C56</f>
        <v>94388340</v>
      </c>
      <c r="D57" s="11" t="n">
        <f aca="false">B57/1000000</f>
        <v>104.188202</v>
      </c>
      <c r="E57" s="11" t="n">
        <f aca="false">C57/1000000</f>
        <v>94.38834</v>
      </c>
    </row>
    <row r="58" customFormat="false" ht="15" hidden="false" customHeight="true" outlineLevel="0" collapsed="false">
      <c r="A58" s="3" t="s">
        <v>981</v>
      </c>
      <c r="B58" s="98" t="n">
        <f aca="false">B57-(104188202)</f>
        <v>0</v>
      </c>
      <c r="C58" s="98" t="n">
        <f aca="false">C57-(94388340)</f>
        <v>0</v>
      </c>
    </row>
    <row r="59" customFormat="false" ht="15" hidden="false" customHeight="true" outlineLevel="0" collapsed="false">
      <c r="A59" s="10" t="s">
        <v>1017</v>
      </c>
      <c r="B59" s="89" t="n">
        <f aca="false">B40+B47+B57</f>
        <v>325835042</v>
      </c>
      <c r="C59" s="89" t="n">
        <f aca="false">C40+C47+C57</f>
        <v>284551262</v>
      </c>
      <c r="D59" s="11" t="n">
        <f aca="false">B59/1000000</f>
        <v>325.835042</v>
      </c>
      <c r="E59" s="11" t="n">
        <f aca="false">C59/1000000</f>
        <v>284.551262</v>
      </c>
    </row>
    <row r="60" customFormat="false" ht="15" hidden="false" customHeight="true" outlineLevel="0" collapsed="false">
      <c r="A60" s="3" t="s">
        <v>981</v>
      </c>
      <c r="B60" s="98" t="n">
        <f aca="false">B59-(325835042)</f>
        <v>0</v>
      </c>
      <c r="C60" s="98" t="n">
        <f aca="false">C59-(284551262)</f>
        <v>0</v>
      </c>
    </row>
    <row r="61" customFormat="false" ht="15" hidden="false" customHeight="true" outlineLevel="0" collapsed="false">
      <c r="A61" s="3" t="s">
        <v>1018</v>
      </c>
      <c r="B61" s="101" t="n">
        <f aca="false">ROUND(B28-Balance!C25,0)</f>
        <v>-0</v>
      </c>
      <c r="C61" s="101" t="n">
        <f aca="false">ROUND(C28-Balance!D25,0)</f>
        <v>1</v>
      </c>
    </row>
    <row r="63" customFormat="false" ht="15" hidden="false" customHeight="true" outlineLevel="0" collapsed="false">
      <c r="A63" s="5" t="s">
        <v>1019</v>
      </c>
      <c r="B63" s="6"/>
      <c r="C63" s="6"/>
      <c r="D63" s="6"/>
      <c r="E63" s="6"/>
    </row>
    <row r="64" customFormat="false" ht="15" hidden="false" customHeight="true" outlineLevel="0" collapsed="false">
      <c r="A64" s="4" t="s">
        <v>971</v>
      </c>
      <c r="B64" s="4" t="s">
        <v>194</v>
      </c>
      <c r="C64" s="4" t="s">
        <v>195</v>
      </c>
      <c r="D64" s="4" t="s">
        <v>196</v>
      </c>
      <c r="E64" s="4" t="s">
        <v>197</v>
      </c>
    </row>
    <row r="65" customFormat="false" ht="15" hidden="false" customHeight="true" outlineLevel="0" collapsed="false">
      <c r="A65" s="12" t="s">
        <v>1020</v>
      </c>
      <c r="B65" s="101" t="n">
        <f aca="false">B19</f>
        <v>127476363</v>
      </c>
      <c r="C65" s="101" t="n">
        <f aca="false">C19</f>
        <v>72447090</v>
      </c>
      <c r="D65" s="84" t="n">
        <f aca="false">B65/1000000</f>
        <v>127.476363</v>
      </c>
      <c r="E65" s="84" t="n">
        <f aca="false">C65/1000000</f>
        <v>72.44709</v>
      </c>
    </row>
    <row r="66" customFormat="false" ht="15" hidden="false" customHeight="true" outlineLevel="0" collapsed="false">
      <c r="A66" s="12" t="s">
        <v>1021</v>
      </c>
      <c r="B66" s="101" t="n">
        <f aca="false">-B43</f>
        <v>-18261935</v>
      </c>
      <c r="C66" s="101" t="n">
        <f aca="false">-C43</f>
        <v>-6083983</v>
      </c>
      <c r="D66" s="84" t="n">
        <f aca="false">B66/1000000</f>
        <v>-18.261935</v>
      </c>
      <c r="E66" s="84" t="n">
        <f aca="false">C66/1000000</f>
        <v>-6.083983</v>
      </c>
    </row>
    <row r="67" customFormat="false" ht="15" hidden="false" customHeight="true" outlineLevel="0" collapsed="false">
      <c r="A67" s="12" t="s">
        <v>1022</v>
      </c>
      <c r="B67" s="101" t="n">
        <f aca="false">-B52</f>
        <v>-29445025</v>
      </c>
      <c r="C67" s="101" t="n">
        <f aca="false">-C52</f>
        <v>-21463499</v>
      </c>
      <c r="D67" s="84" t="n">
        <f aca="false">B67/1000000</f>
        <v>-29.445025</v>
      </c>
      <c r="E67" s="84" t="n">
        <f aca="false">C67/1000000</f>
        <v>-21.463499</v>
      </c>
    </row>
    <row r="68" customFormat="false" ht="15" hidden="false" customHeight="true" outlineLevel="0" collapsed="false">
      <c r="A68" s="10" t="s">
        <v>1023</v>
      </c>
      <c r="B68" s="110" t="n">
        <f aca="false">SUM(B65:B67)</f>
        <v>79769403</v>
      </c>
      <c r="C68" s="110" t="n">
        <f aca="false">SUM(C65:C67)</f>
        <v>44899608</v>
      </c>
      <c r="D68" s="11" t="n">
        <f aca="false">B68/1000000</f>
        <v>79.769403</v>
      </c>
      <c r="E68" s="11" t="n">
        <f aca="false">C68/1000000</f>
        <v>44.899608</v>
      </c>
    </row>
    <row r="69" customFormat="false" ht="15" hidden="false" customHeight="true" outlineLevel="0" collapsed="false">
      <c r="A69" s="10" t="s">
        <v>1024</v>
      </c>
      <c r="B69" s="106" t="n">
        <f aca="false">B19/(B18+B19+B20+B21+B22+B23)</f>
        <v>0.929043407665194</v>
      </c>
      <c r="C69" s="106" t="n">
        <f aca="false">C19/(C18+C19+C20+C21+C22+C23)</f>
        <v>0.865554283383246</v>
      </c>
    </row>
    <row r="71" customFormat="false" ht="15" hidden="false" customHeight="true" outlineLevel="0" collapsed="false">
      <c r="A71" s="5" t="s">
        <v>1025</v>
      </c>
      <c r="B71" s="6"/>
      <c r="C71" s="6"/>
      <c r="D71" s="6"/>
      <c r="E71" s="6"/>
    </row>
    <row r="72" customFormat="false" ht="15" hidden="false" customHeight="true" outlineLevel="0" collapsed="false">
      <c r="A72" s="4" t="s">
        <v>971</v>
      </c>
      <c r="B72" s="4" t="s">
        <v>194</v>
      </c>
      <c r="C72" s="4" t="s">
        <v>195</v>
      </c>
      <c r="D72" s="4" t="s">
        <v>196</v>
      </c>
      <c r="E72" s="4" t="s">
        <v>197</v>
      </c>
    </row>
    <row r="73" customFormat="false" ht="15" hidden="false" customHeight="true" outlineLevel="0" collapsed="false">
      <c r="A73" s="12" t="s">
        <v>1026</v>
      </c>
      <c r="B73" s="86" t="n">
        <v>96925787</v>
      </c>
      <c r="C73" s="86" t="n">
        <v>120416440</v>
      </c>
      <c r="D73" s="84" t="n">
        <f aca="false">B73/1000000</f>
        <v>96.925787</v>
      </c>
      <c r="E73" s="84" t="n">
        <f aca="false">C73/1000000</f>
        <v>120.41644</v>
      </c>
    </row>
    <row r="74" customFormat="false" ht="15" hidden="false" customHeight="true" outlineLevel="0" collapsed="false">
      <c r="A74" s="7" t="s">
        <v>1027</v>
      </c>
      <c r="B74" s="86" t="n">
        <v>-82397</v>
      </c>
      <c r="C74" s="86" t="n">
        <v>-117592</v>
      </c>
      <c r="D74" s="84" t="n">
        <f aca="false">B74/1000000</f>
        <v>-0.082397</v>
      </c>
      <c r="E74" s="84" t="n">
        <f aca="false">C74/1000000</f>
        <v>-0.117592</v>
      </c>
    </row>
    <row r="75" customFormat="false" ht="15" hidden="false" customHeight="true" outlineLevel="0" collapsed="false">
      <c r="A75" s="7" t="s">
        <v>1028</v>
      </c>
      <c r="B75" s="86" t="n">
        <v>-4873768</v>
      </c>
      <c r="C75" s="86" t="n">
        <v>-5396352</v>
      </c>
      <c r="D75" s="84" t="n">
        <f aca="false">B75/1000000</f>
        <v>-4.873768</v>
      </c>
      <c r="E75" s="84" t="n">
        <f aca="false">C75/1000000</f>
        <v>-5.396352</v>
      </c>
    </row>
    <row r="76" customFormat="false" ht="15" hidden="false" customHeight="true" outlineLevel="0" collapsed="false">
      <c r="A76" s="7" t="s">
        <v>1029</v>
      </c>
      <c r="B76" s="86" t="n">
        <v>-39838</v>
      </c>
      <c r="C76" s="86" t="n">
        <v>-28171</v>
      </c>
      <c r="D76" s="84" t="n">
        <f aca="false">B76/1000000</f>
        <v>-0.039838</v>
      </c>
      <c r="E76" s="84" t="n">
        <f aca="false">C76/1000000</f>
        <v>-0.028171</v>
      </c>
    </row>
    <row r="77" customFormat="false" ht="15" hidden="false" customHeight="true" outlineLevel="0" collapsed="false">
      <c r="A77" s="10" t="s">
        <v>1030</v>
      </c>
      <c r="B77" s="87" t="n">
        <f aca="false">B74+B75+B76</f>
        <v>-4996003</v>
      </c>
      <c r="C77" s="87" t="n">
        <f aca="false">C74+C75+C76</f>
        <v>-5542115</v>
      </c>
      <c r="D77" s="11" t="n">
        <f aca="false">B77/1000000</f>
        <v>-4.996003</v>
      </c>
      <c r="E77" s="11" t="n">
        <f aca="false">C77/1000000</f>
        <v>-5.542115</v>
      </c>
    </row>
    <row r="78" customFormat="false" ht="15" hidden="false" customHeight="true" outlineLevel="0" collapsed="false">
      <c r="A78" s="3" t="s">
        <v>981</v>
      </c>
      <c r="B78" s="98" t="n">
        <f aca="false">B77-(-4996003)</f>
        <v>0</v>
      </c>
      <c r="C78" s="98" t="n">
        <f aca="false">C77-(-5542115)</f>
        <v>0</v>
      </c>
    </row>
    <row r="79" customFormat="false" ht="15" hidden="false" customHeight="true" outlineLevel="0" collapsed="false">
      <c r="A79" s="7" t="s">
        <v>1031</v>
      </c>
      <c r="B79" s="86" t="n">
        <v>11633</v>
      </c>
      <c r="C79" s="86" t="n">
        <v>612369</v>
      </c>
      <c r="D79" s="84" t="n">
        <f aca="false">B79/1000000</f>
        <v>0.011633</v>
      </c>
      <c r="E79" s="84" t="n">
        <f aca="false">C79/1000000</f>
        <v>0.612369</v>
      </c>
    </row>
    <row r="80" customFormat="false" ht="15" hidden="false" customHeight="true" outlineLevel="0" collapsed="false">
      <c r="A80" s="7" t="s">
        <v>1032</v>
      </c>
      <c r="B80" s="86" t="n">
        <v>480463</v>
      </c>
      <c r="C80" s="86" t="n">
        <v>337606</v>
      </c>
      <c r="D80" s="84" t="n">
        <f aca="false">B80/1000000</f>
        <v>0.480463</v>
      </c>
      <c r="E80" s="84" t="n">
        <f aca="false">C80/1000000</f>
        <v>0.337606</v>
      </c>
    </row>
    <row r="81" customFormat="false" ht="15" hidden="false" customHeight="true" outlineLevel="0" collapsed="false">
      <c r="A81" s="7" t="s">
        <v>1033</v>
      </c>
      <c r="B81" s="86" t="n">
        <v>3750</v>
      </c>
      <c r="C81" s="86" t="n">
        <v>2690000</v>
      </c>
      <c r="D81" s="84" t="n">
        <f aca="false">B81/1000000</f>
        <v>0.00375</v>
      </c>
      <c r="E81" s="84" t="n">
        <f aca="false">C81/1000000</f>
        <v>2.69</v>
      </c>
    </row>
    <row r="82" customFormat="false" ht="15" hidden="false" customHeight="true" outlineLevel="0" collapsed="false">
      <c r="A82" s="7" t="s">
        <v>1034</v>
      </c>
      <c r="B82" s="86" t="n">
        <v>2444328</v>
      </c>
      <c r="C82" s="86" t="n">
        <v>3733407</v>
      </c>
      <c r="D82" s="84" t="n">
        <f aca="false">B82/1000000</f>
        <v>2.444328</v>
      </c>
      <c r="E82" s="84" t="n">
        <f aca="false">C82/1000000</f>
        <v>3.733407</v>
      </c>
    </row>
    <row r="83" customFormat="false" ht="15" hidden="false" customHeight="true" outlineLevel="0" collapsed="false">
      <c r="A83" s="10" t="s">
        <v>1035</v>
      </c>
      <c r="B83" s="87" t="n">
        <f aca="false">B79+B80+B81+B82</f>
        <v>2940174</v>
      </c>
      <c r="C83" s="87" t="n">
        <f aca="false">C79+C80+C81+C82</f>
        <v>7373382</v>
      </c>
      <c r="D83" s="11" t="n">
        <f aca="false">B83/1000000</f>
        <v>2.940174</v>
      </c>
      <c r="E83" s="11" t="n">
        <f aca="false">C83/1000000</f>
        <v>7.373382</v>
      </c>
    </row>
    <row r="84" customFormat="false" ht="15" hidden="false" customHeight="true" outlineLevel="0" collapsed="false">
      <c r="A84" s="3" t="s">
        <v>981</v>
      </c>
      <c r="B84" s="98" t="n">
        <f aca="false">B83-(2940175)</f>
        <v>-1</v>
      </c>
      <c r="C84" s="98" t="n">
        <f aca="false">C83-(7373382)</f>
        <v>0</v>
      </c>
    </row>
    <row r="85" customFormat="false" ht="15" hidden="false" customHeight="true" outlineLevel="0" collapsed="false">
      <c r="A85" s="12" t="s">
        <v>1036</v>
      </c>
      <c r="B85" s="86" t="n">
        <v>-8492003</v>
      </c>
      <c r="C85" s="86" t="n">
        <v>-8717433</v>
      </c>
      <c r="D85" s="84" t="n">
        <f aca="false">B85/1000000</f>
        <v>-8.492003</v>
      </c>
      <c r="E85" s="84" t="n">
        <f aca="false">C85/1000000</f>
        <v>-8.717433</v>
      </c>
    </row>
    <row r="86" customFormat="false" ht="15" hidden="false" customHeight="true" outlineLevel="0" collapsed="false">
      <c r="A86" s="7" t="s">
        <v>1037</v>
      </c>
      <c r="B86" s="86" t="n">
        <v>-89347776</v>
      </c>
      <c r="C86" s="86" t="n">
        <v>-88435923</v>
      </c>
      <c r="D86" s="84" t="n">
        <f aca="false">B86/1000000</f>
        <v>-89.347776</v>
      </c>
      <c r="E86" s="84" t="n">
        <f aca="false">C86/1000000</f>
        <v>-88.435923</v>
      </c>
    </row>
    <row r="87" customFormat="false" ht="15" hidden="false" customHeight="true" outlineLevel="0" collapsed="false">
      <c r="A87" s="7" t="s">
        <v>1038</v>
      </c>
      <c r="B87" s="86" t="n">
        <v>0</v>
      </c>
      <c r="C87" s="86" t="n">
        <v>-3501515</v>
      </c>
      <c r="D87" s="84" t="n">
        <f aca="false">B87/1000000</f>
        <v>0</v>
      </c>
      <c r="E87" s="84" t="n">
        <f aca="false">C87/1000000</f>
        <v>-3.501515</v>
      </c>
    </row>
    <row r="88" customFormat="false" ht="15" hidden="false" customHeight="true" outlineLevel="0" collapsed="false">
      <c r="A88" s="7" t="s">
        <v>1039</v>
      </c>
      <c r="B88" s="86" t="n">
        <v>-872560</v>
      </c>
      <c r="C88" s="86" t="n">
        <v>-717691</v>
      </c>
      <c r="D88" s="84" t="n">
        <f aca="false">B88/1000000</f>
        <v>-0.87256</v>
      </c>
      <c r="E88" s="84" t="n">
        <f aca="false">C88/1000000</f>
        <v>-0.717691</v>
      </c>
    </row>
    <row r="89" customFormat="false" ht="15" hidden="false" customHeight="true" outlineLevel="0" collapsed="false">
      <c r="A89" s="109" t="s">
        <v>1040</v>
      </c>
      <c r="B89" s="86" t="n">
        <v>-1066500</v>
      </c>
      <c r="C89" s="86" t="n">
        <v>-973500</v>
      </c>
      <c r="D89" s="84" t="n">
        <f aca="false">B89/1000000</f>
        <v>-1.0665</v>
      </c>
      <c r="E89" s="84" t="n">
        <f aca="false">C89/1000000</f>
        <v>-0.9735</v>
      </c>
    </row>
    <row r="90" customFormat="false" ht="15" hidden="false" customHeight="true" outlineLevel="0" collapsed="false">
      <c r="A90" s="7" t="s">
        <v>1041</v>
      </c>
      <c r="B90" s="86" t="n">
        <v>-6334727</v>
      </c>
      <c r="C90" s="86" t="n">
        <v>-1725617</v>
      </c>
      <c r="D90" s="84" t="n">
        <f aca="false">B90/1000000</f>
        <v>-6.334727</v>
      </c>
      <c r="E90" s="84" t="n">
        <f aca="false">C90/1000000</f>
        <v>-1.725617</v>
      </c>
    </row>
    <row r="91" customFormat="false" ht="15" hidden="false" customHeight="true" outlineLevel="0" collapsed="false">
      <c r="A91" s="7" t="s">
        <v>1042</v>
      </c>
      <c r="B91" s="86" t="n">
        <v>-7772144</v>
      </c>
      <c r="C91" s="86" t="n">
        <v>-4024980</v>
      </c>
      <c r="D91" s="84" t="n">
        <f aca="false">B91/1000000</f>
        <v>-7.772144</v>
      </c>
      <c r="E91" s="84" t="n">
        <f aca="false">C91/1000000</f>
        <v>-4.02498</v>
      </c>
    </row>
    <row r="92" customFormat="false" ht="15" hidden="false" customHeight="true" outlineLevel="0" collapsed="false">
      <c r="A92" s="7" t="s">
        <v>1043</v>
      </c>
      <c r="B92" s="86" t="n">
        <v>-115150</v>
      </c>
      <c r="C92" s="86" t="n">
        <v>0</v>
      </c>
      <c r="D92" s="84" t="n">
        <f aca="false">B92/1000000</f>
        <v>-0.11515</v>
      </c>
      <c r="E92" s="84" t="n">
        <f aca="false">C92/1000000</f>
        <v>0</v>
      </c>
    </row>
    <row r="93" customFormat="false" ht="15" hidden="false" customHeight="true" outlineLevel="0" collapsed="false">
      <c r="A93" s="7" t="s">
        <v>1044</v>
      </c>
      <c r="B93" s="86" t="n">
        <v>-1130782</v>
      </c>
      <c r="C93" s="86" t="n">
        <v>-943909</v>
      </c>
      <c r="D93" s="84" t="n">
        <f aca="false">B93/1000000</f>
        <v>-1.130782</v>
      </c>
      <c r="E93" s="84" t="n">
        <f aca="false">C93/1000000</f>
        <v>-0.943909</v>
      </c>
    </row>
    <row r="94" customFormat="false" ht="15" hidden="false" customHeight="true" outlineLevel="0" collapsed="false">
      <c r="A94" s="7" t="s">
        <v>1045</v>
      </c>
      <c r="B94" s="86" t="n">
        <v>-2000</v>
      </c>
      <c r="C94" s="86" t="n">
        <v>-22003</v>
      </c>
      <c r="D94" s="84" t="n">
        <f aca="false">B94/1000000</f>
        <v>-0.002</v>
      </c>
      <c r="E94" s="84" t="n">
        <f aca="false">C94/1000000</f>
        <v>-0.022003</v>
      </c>
    </row>
    <row r="95" customFormat="false" ht="15" hidden="false" customHeight="true" outlineLevel="0" collapsed="false">
      <c r="A95" s="10" t="s">
        <v>1046</v>
      </c>
      <c r="B95" s="87" t="n">
        <f aca="false">B86+B87+B88+B89+B90+B91+B92+B93+B94</f>
        <v>-106641639</v>
      </c>
      <c r="C95" s="87" t="n">
        <f aca="false">C86+C87+C88+C89+C90+C91+C92+C93+C94</f>
        <v>-100345138</v>
      </c>
      <c r="D95" s="11" t="n">
        <f aca="false">B95/1000000</f>
        <v>-106.641639</v>
      </c>
      <c r="E95" s="11" t="n">
        <f aca="false">C95/1000000</f>
        <v>-100.345138</v>
      </c>
    </row>
    <row r="96" customFormat="false" ht="15" hidden="false" customHeight="true" outlineLevel="0" collapsed="false">
      <c r="A96" s="3" t="s">
        <v>981</v>
      </c>
      <c r="B96" s="98" t="n">
        <f aca="false">B95-(-106641640)</f>
        <v>1</v>
      </c>
      <c r="C96" s="98" t="n">
        <f aca="false">C95-(-100345138)</f>
        <v>0</v>
      </c>
    </row>
    <row r="97" customFormat="false" ht="15" hidden="false" customHeight="true" outlineLevel="0" collapsed="false">
      <c r="A97" s="7" t="s">
        <v>1047</v>
      </c>
      <c r="B97" s="86" t="n">
        <v>-15348416</v>
      </c>
      <c r="C97" s="86" t="n">
        <v>-16444808</v>
      </c>
      <c r="D97" s="84" t="n">
        <f aca="false">B97/1000000</f>
        <v>-15.348416</v>
      </c>
      <c r="E97" s="84" t="n">
        <f aca="false">C97/1000000</f>
        <v>-16.444808</v>
      </c>
    </row>
    <row r="98" customFormat="false" ht="15" hidden="false" customHeight="true" outlineLevel="0" collapsed="false">
      <c r="A98" s="7" t="s">
        <v>1048</v>
      </c>
      <c r="B98" s="86" t="n">
        <v>-35168</v>
      </c>
      <c r="C98" s="86" t="n">
        <v>-242450</v>
      </c>
      <c r="D98" s="84" t="n">
        <f aca="false">B98/1000000</f>
        <v>-0.035168</v>
      </c>
      <c r="E98" s="84" t="n">
        <f aca="false">C98/1000000</f>
        <v>-0.24245</v>
      </c>
    </row>
    <row r="99" customFormat="false" ht="15" hidden="false" customHeight="true" outlineLevel="0" collapsed="false">
      <c r="A99" s="7" t="s">
        <v>1049</v>
      </c>
      <c r="B99" s="86" t="n">
        <v>-4685</v>
      </c>
      <c r="C99" s="86" t="n">
        <v>1407</v>
      </c>
      <c r="D99" s="84" t="n">
        <f aca="false">B99/1000000</f>
        <v>-0.004685</v>
      </c>
      <c r="E99" s="84" t="n">
        <f aca="false">C99/1000000</f>
        <v>0.001407</v>
      </c>
    </row>
    <row r="100" customFormat="false" ht="15" hidden="false" customHeight="true" outlineLevel="0" collapsed="false">
      <c r="A100" s="7" t="s">
        <v>1050</v>
      </c>
      <c r="B100" s="86" t="n">
        <v>-2616215</v>
      </c>
      <c r="C100" s="86" t="n">
        <v>-3813221</v>
      </c>
      <c r="D100" s="84" t="n">
        <f aca="false">B100/1000000</f>
        <v>-2.616215</v>
      </c>
      <c r="E100" s="84" t="n">
        <f aca="false">C100/1000000</f>
        <v>-3.813221</v>
      </c>
    </row>
    <row r="101" customFormat="false" ht="15" hidden="false" customHeight="true" outlineLevel="0" collapsed="false">
      <c r="A101" s="7" t="s">
        <v>1051</v>
      </c>
      <c r="B101" s="86" t="n">
        <v>-1780294</v>
      </c>
      <c r="C101" s="86" t="n">
        <v>-1695819</v>
      </c>
      <c r="D101" s="84" t="n">
        <f aca="false">B101/1000000</f>
        <v>-1.780294</v>
      </c>
      <c r="E101" s="84" t="n">
        <f aca="false">C101/1000000</f>
        <v>-1.695819</v>
      </c>
    </row>
    <row r="102" customFormat="false" ht="15" hidden="false" customHeight="true" outlineLevel="0" collapsed="false">
      <c r="A102" s="7" t="s">
        <v>1052</v>
      </c>
      <c r="B102" s="86" t="n">
        <v>-3120261</v>
      </c>
      <c r="C102" s="86" t="n">
        <v>-4703215</v>
      </c>
      <c r="D102" s="84" t="n">
        <f aca="false">B102/1000000</f>
        <v>-3.120261</v>
      </c>
      <c r="E102" s="84" t="n">
        <f aca="false">C102/1000000</f>
        <v>-4.703215</v>
      </c>
    </row>
    <row r="103" customFormat="false" ht="15" hidden="false" customHeight="true" outlineLevel="0" collapsed="false">
      <c r="A103" s="7" t="s">
        <v>1053</v>
      </c>
      <c r="B103" s="86" t="n">
        <v>-274237</v>
      </c>
      <c r="C103" s="86" t="n">
        <v>-48199</v>
      </c>
      <c r="D103" s="84" t="n">
        <f aca="false">B103/1000000</f>
        <v>-0.274237</v>
      </c>
      <c r="E103" s="84" t="n">
        <f aca="false">C103/1000000</f>
        <v>-0.048199</v>
      </c>
    </row>
    <row r="104" customFormat="false" ht="15" hidden="false" customHeight="true" outlineLevel="0" collapsed="false">
      <c r="A104" s="10" t="s">
        <v>1054</v>
      </c>
      <c r="B104" s="87" t="n">
        <f aca="false">B97+B98+B99+B100+B101+B102+B103</f>
        <v>-23179276</v>
      </c>
      <c r="C104" s="87" t="n">
        <f aca="false">C97+C98+C99+C100+C101+C102+C103</f>
        <v>-26946305</v>
      </c>
      <c r="D104" s="11" t="n">
        <f aca="false">B104/1000000</f>
        <v>-23.179276</v>
      </c>
      <c r="E104" s="11" t="n">
        <f aca="false">C104/1000000</f>
        <v>-26.946305</v>
      </c>
    </row>
    <row r="105" customFormat="false" ht="15" hidden="false" customHeight="true" outlineLevel="0" collapsed="false">
      <c r="A105" s="3" t="s">
        <v>981</v>
      </c>
      <c r="B105" s="98" t="n">
        <f aca="false">B104-(-23179276)</f>
        <v>0</v>
      </c>
      <c r="C105" s="98" t="n">
        <f aca="false">C104-(-26946305)</f>
        <v>0</v>
      </c>
    </row>
    <row r="106" customFormat="false" ht="15" hidden="false" customHeight="true" outlineLevel="0" collapsed="false">
      <c r="A106" s="109" t="s">
        <v>1055</v>
      </c>
      <c r="B106" s="86" t="n">
        <v>-2267312</v>
      </c>
      <c r="C106" s="86" t="n">
        <v>-2108402</v>
      </c>
      <c r="D106" s="84" t="n">
        <f aca="false">B106/1000000</f>
        <v>-2.267312</v>
      </c>
      <c r="E106" s="84" t="n">
        <f aca="false">C106/1000000</f>
        <v>-2.108402</v>
      </c>
    </row>
    <row r="107" customFormat="false" ht="15" hidden="false" customHeight="true" outlineLevel="0" collapsed="false">
      <c r="A107" s="7" t="s">
        <v>1056</v>
      </c>
      <c r="B107" s="86" t="n">
        <v>-2348771</v>
      </c>
      <c r="C107" s="86" t="n">
        <v>-2143024</v>
      </c>
      <c r="D107" s="84" t="n">
        <f aca="false">B107/1000000</f>
        <v>-2.348771</v>
      </c>
      <c r="E107" s="84" t="n">
        <f aca="false">C107/1000000</f>
        <v>-2.143024</v>
      </c>
    </row>
    <row r="108" customFormat="false" ht="15" hidden="false" customHeight="true" outlineLevel="0" collapsed="false">
      <c r="A108" s="7" t="s">
        <v>1057</v>
      </c>
      <c r="B108" s="86" t="n">
        <v>-23706486</v>
      </c>
      <c r="C108" s="86" t="n">
        <v>-23215650</v>
      </c>
      <c r="D108" s="84" t="n">
        <f aca="false">B108/1000000</f>
        <v>-23.706486</v>
      </c>
      <c r="E108" s="84" t="n">
        <f aca="false">C108/1000000</f>
        <v>-23.21565</v>
      </c>
    </row>
    <row r="109" customFormat="false" ht="15" hidden="false" customHeight="true" outlineLevel="0" collapsed="false">
      <c r="A109" s="7" t="s">
        <v>1058</v>
      </c>
      <c r="B109" s="86" t="n">
        <v>-1854466</v>
      </c>
      <c r="C109" s="86" t="n">
        <v>-430628</v>
      </c>
      <c r="D109" s="84" t="n">
        <f aca="false">B109/1000000</f>
        <v>-1.854466</v>
      </c>
      <c r="E109" s="84" t="n">
        <f aca="false">C109/1000000</f>
        <v>-0.430628</v>
      </c>
    </row>
    <row r="110" customFormat="false" ht="15" hidden="false" customHeight="true" outlineLevel="0" collapsed="false">
      <c r="A110" s="10" t="s">
        <v>1059</v>
      </c>
      <c r="B110" s="87" t="n">
        <f aca="false">B106+B107+B108+B109</f>
        <v>-30177035</v>
      </c>
      <c r="C110" s="87" t="n">
        <f aca="false">C106+C107+C108+C109</f>
        <v>-27897704</v>
      </c>
      <c r="D110" s="11" t="n">
        <f aca="false">B110/1000000</f>
        <v>-30.177035</v>
      </c>
      <c r="E110" s="11" t="n">
        <f aca="false">C110/1000000</f>
        <v>-27.897704</v>
      </c>
    </row>
    <row r="111" customFormat="false" ht="15" hidden="false" customHeight="true" outlineLevel="0" collapsed="false">
      <c r="A111" s="3" t="s">
        <v>981</v>
      </c>
      <c r="B111" s="98" t="n">
        <f aca="false">B110-(-30177035)</f>
        <v>0</v>
      </c>
      <c r="C111" s="98" t="n">
        <f aca="false">C110-(-27897705)</f>
        <v>1</v>
      </c>
    </row>
    <row r="112" customFormat="false" ht="15" hidden="false" customHeight="true" outlineLevel="0" collapsed="false">
      <c r="A112" s="12" t="s">
        <v>1060</v>
      </c>
      <c r="B112" s="86" t="n">
        <v>160522</v>
      </c>
      <c r="C112" s="86" t="n">
        <v>161074</v>
      </c>
      <c r="D112" s="84" t="n">
        <f aca="false">B112/1000000</f>
        <v>0.160522</v>
      </c>
      <c r="E112" s="84" t="n">
        <f aca="false">C112/1000000</f>
        <v>0.161074</v>
      </c>
    </row>
    <row r="113" customFormat="false" ht="15" hidden="false" customHeight="true" outlineLevel="0" collapsed="false">
      <c r="A113" s="7" t="s">
        <v>1061</v>
      </c>
      <c r="B113" s="86" t="n">
        <v>98187934</v>
      </c>
      <c r="C113" s="86" t="n">
        <v>28793617</v>
      </c>
      <c r="D113" s="84" t="n">
        <f aca="false">B113/1000000</f>
        <v>98.187934</v>
      </c>
      <c r="E113" s="84" t="n">
        <f aca="false">C113/1000000</f>
        <v>28.793617</v>
      </c>
    </row>
    <row r="114" customFormat="false" ht="15" hidden="false" customHeight="true" outlineLevel="0" collapsed="false">
      <c r="A114" s="7" t="s">
        <v>1062</v>
      </c>
      <c r="B114" s="86" t="n">
        <v>-3470515</v>
      </c>
      <c r="C114" s="86" t="n">
        <v>-295000</v>
      </c>
      <c r="D114" s="84" t="n">
        <f aca="false">B114/1000000</f>
        <v>-3.470515</v>
      </c>
      <c r="E114" s="84" t="n">
        <f aca="false">C114/1000000</f>
        <v>-0.295</v>
      </c>
    </row>
    <row r="115" customFormat="false" ht="15" hidden="false" customHeight="true" outlineLevel="0" collapsed="false">
      <c r="A115" s="10" t="s">
        <v>1063</v>
      </c>
      <c r="B115" s="87" t="n">
        <f aca="false">B113+B114</f>
        <v>94717419</v>
      </c>
      <c r="C115" s="87" t="n">
        <f aca="false">C113+C114</f>
        <v>28498617</v>
      </c>
      <c r="D115" s="11" t="n">
        <f aca="false">B115/1000000</f>
        <v>94.717419</v>
      </c>
      <c r="E115" s="11" t="n">
        <f aca="false">C115/1000000</f>
        <v>28.498617</v>
      </c>
    </row>
    <row r="116" customFormat="false" ht="15" hidden="false" customHeight="true" outlineLevel="0" collapsed="false">
      <c r="A116" s="3" t="s">
        <v>981</v>
      </c>
      <c r="B116" s="98" t="n">
        <f aca="false">B115-(94717419)</f>
        <v>0</v>
      </c>
      <c r="C116" s="98" t="n">
        <f aca="false">C115-(28498617)</f>
        <v>0</v>
      </c>
    </row>
    <row r="117" customFormat="false" ht="15" hidden="false" customHeight="true" outlineLevel="0" collapsed="false">
      <c r="A117" s="12" t="s">
        <v>1064</v>
      </c>
      <c r="B117" s="86" t="n">
        <v>-1997669</v>
      </c>
      <c r="C117" s="86" t="n">
        <v>-2105816</v>
      </c>
      <c r="D117" s="84" t="n">
        <f aca="false">B117/1000000</f>
        <v>-1.997669</v>
      </c>
      <c r="E117" s="84" t="n">
        <f aca="false">C117/1000000</f>
        <v>-2.105816</v>
      </c>
    </row>
    <row r="118" customFormat="false" ht="15" hidden="false" customHeight="true" outlineLevel="0" collapsed="false">
      <c r="A118" s="10" t="s">
        <v>1065</v>
      </c>
      <c r="B118" s="89" t="n">
        <f aca="false">B73+B77+B83+B85+B95+B104+B110+B112+B115+B117</f>
        <v>19260277</v>
      </c>
      <c r="C118" s="89" t="n">
        <f aca="false">C73+C77+C83+C85+C95+C104+C110+C112+C115+C117</f>
        <v>-15104998</v>
      </c>
      <c r="D118" s="11" t="n">
        <f aca="false">B118/1000000</f>
        <v>19.260277</v>
      </c>
      <c r="E118" s="11" t="n">
        <f aca="false">C118/1000000</f>
        <v>-15.104998</v>
      </c>
    </row>
    <row r="119" customFormat="false" ht="15" hidden="false" customHeight="true" outlineLevel="0" collapsed="false">
      <c r="A119" s="3" t="s">
        <v>981</v>
      </c>
      <c r="B119" s="98" t="n">
        <f aca="false">B118-(19260277)</f>
        <v>0</v>
      </c>
      <c r="C119" s="98" t="n">
        <f aca="false">C118-(-15104998)</f>
        <v>0</v>
      </c>
    </row>
    <row r="120" customFormat="false" ht="15" hidden="false" customHeight="true" outlineLevel="0" collapsed="false">
      <c r="A120" s="12" t="s">
        <v>1066</v>
      </c>
      <c r="B120" s="86" t="n">
        <v>611749</v>
      </c>
      <c r="C120" s="86" t="n">
        <v>1744041</v>
      </c>
      <c r="D120" s="84" t="n">
        <f aca="false">B120/1000000</f>
        <v>0.611749</v>
      </c>
      <c r="E120" s="84" t="n">
        <f aca="false">C120/1000000</f>
        <v>1.744041</v>
      </c>
    </row>
    <row r="121" customFormat="false" ht="15" hidden="false" customHeight="true" outlineLevel="0" collapsed="false">
      <c r="A121" s="12" t="s">
        <v>1067</v>
      </c>
      <c r="B121" s="86" t="n">
        <v>-885473</v>
      </c>
      <c r="C121" s="86" t="n">
        <v>-2656108</v>
      </c>
      <c r="D121" s="84" t="n">
        <f aca="false">B121/1000000</f>
        <v>-0.885473</v>
      </c>
      <c r="E121" s="84" t="n">
        <f aca="false">C121/1000000</f>
        <v>-2.656108</v>
      </c>
    </row>
    <row r="122" customFormat="false" ht="15" hidden="false" customHeight="true" outlineLevel="0" collapsed="false">
      <c r="A122" s="10" t="s">
        <v>1068</v>
      </c>
      <c r="B122" s="87" t="n">
        <f aca="false">B118+B120+B121</f>
        <v>18986553</v>
      </c>
      <c r="C122" s="87" t="n">
        <f aca="false">C118+C120+C121</f>
        <v>-16017065</v>
      </c>
      <c r="D122" s="11" t="n">
        <f aca="false">B122/1000000</f>
        <v>18.986553</v>
      </c>
      <c r="E122" s="11" t="n">
        <f aca="false">C122/1000000</f>
        <v>-16.017065</v>
      </c>
    </row>
    <row r="123" customFormat="false" ht="15" hidden="false" customHeight="true" outlineLevel="0" collapsed="false">
      <c r="A123" s="3" t="s">
        <v>981</v>
      </c>
      <c r="B123" s="98" t="n">
        <f aca="false">B122-(18986553)</f>
        <v>0</v>
      </c>
      <c r="C123" s="98" t="n">
        <f aca="false">C122-(-16017065)</f>
        <v>0</v>
      </c>
    </row>
    <row r="124" customFormat="false" ht="15" hidden="false" customHeight="true" outlineLevel="0" collapsed="false">
      <c r="A124" s="12" t="s">
        <v>1069</v>
      </c>
      <c r="B124" s="86" t="n">
        <v>-5275304</v>
      </c>
      <c r="C124" s="86" t="n">
        <v>1895827</v>
      </c>
      <c r="D124" s="84" t="n">
        <f aca="false">B124/1000000</f>
        <v>-5.275304</v>
      </c>
      <c r="E124" s="84" t="n">
        <f aca="false">C124/1000000</f>
        <v>1.895827</v>
      </c>
    </row>
    <row r="125" customFormat="false" ht="15" hidden="false" customHeight="true" outlineLevel="0" collapsed="false">
      <c r="A125" s="10" t="s">
        <v>1070</v>
      </c>
      <c r="B125" s="89" t="n">
        <f aca="false">B122+B124</f>
        <v>13711249</v>
      </c>
      <c r="C125" s="89" t="n">
        <f aca="false">C122+C124</f>
        <v>-14121238</v>
      </c>
      <c r="D125" s="11" t="n">
        <f aca="false">B125/1000000</f>
        <v>13.711249</v>
      </c>
      <c r="E125" s="11" t="n">
        <f aca="false">C125/1000000</f>
        <v>-14.121238</v>
      </c>
    </row>
    <row r="126" customFormat="false" ht="15" hidden="false" customHeight="true" outlineLevel="0" collapsed="false">
      <c r="A126" s="3" t="s">
        <v>981</v>
      </c>
      <c r="B126" s="98" t="n">
        <f aca="false">B125-(13711249)</f>
        <v>0</v>
      </c>
      <c r="C126" s="98" t="n">
        <f aca="false">C125-(-14121238)</f>
        <v>0</v>
      </c>
    </row>
    <row r="127" customFormat="false" ht="15" hidden="false" customHeight="true" outlineLevel="0" collapsed="false">
      <c r="A127" s="3" t="s">
        <v>1071</v>
      </c>
      <c r="B127" s="101" t="n">
        <f aca="false">ROUND(B125-PyG!C38,0)</f>
        <v>0</v>
      </c>
      <c r="C127" s="101" t="n">
        <f aca="false">ROUND(C125-PyG!D38,0)</f>
        <v>-1</v>
      </c>
    </row>
    <row r="129" customFormat="false" ht="15" hidden="false" customHeight="true" outlineLevel="0" collapsed="false">
      <c r="A129" s="5" t="s">
        <v>1072</v>
      </c>
      <c r="B129" s="6"/>
      <c r="C129" s="6"/>
      <c r="D129" s="6"/>
      <c r="E129" s="6"/>
    </row>
    <row r="130" customFormat="false" ht="30" hidden="false" customHeight="true" outlineLevel="0" collapsed="false">
      <c r="A130" s="31" t="s">
        <v>1073</v>
      </c>
      <c r="B130" s="31"/>
      <c r="C130" s="31"/>
      <c r="D130" s="31"/>
      <c r="E130" s="31"/>
    </row>
    <row r="131" customFormat="false" ht="30" hidden="false" customHeight="true" outlineLevel="0" collapsed="false">
      <c r="A131" s="31" t="s">
        <v>1074</v>
      </c>
      <c r="B131" s="31"/>
      <c r="C131" s="31"/>
      <c r="D131" s="31"/>
      <c r="E131" s="31"/>
    </row>
    <row r="132" customFormat="false" ht="30" hidden="false" customHeight="true" outlineLevel="0" collapsed="false">
      <c r="A132" s="32" t="s">
        <v>1075</v>
      </c>
      <c r="B132" s="32"/>
      <c r="C132" s="32"/>
      <c r="D132" s="32"/>
      <c r="E132" s="32"/>
    </row>
    <row r="133" customFormat="false" ht="30" hidden="false" customHeight="true" outlineLevel="0" collapsed="false">
      <c r="A133" s="32" t="s">
        <v>1076</v>
      </c>
      <c r="B133" s="32"/>
      <c r="C133" s="32"/>
      <c r="D133" s="32"/>
      <c r="E133" s="32"/>
    </row>
    <row r="134" customFormat="false" ht="30" hidden="false" customHeight="true" outlineLevel="0" collapsed="false">
      <c r="A134" s="32" t="s">
        <v>1077</v>
      </c>
      <c r="B134" s="32"/>
      <c r="C134" s="32"/>
      <c r="D134" s="32"/>
      <c r="E134" s="32"/>
    </row>
    <row r="135" customFormat="false" ht="30" hidden="false" customHeight="true" outlineLevel="0" collapsed="false">
      <c r="A135" s="32" t="s">
        <v>1078</v>
      </c>
      <c r="B135" s="32"/>
      <c r="C135" s="32"/>
      <c r="D135" s="32"/>
      <c r="E135" s="32"/>
    </row>
    <row r="136" customFormat="false" ht="30" hidden="false" customHeight="true" outlineLevel="0" collapsed="false">
      <c r="A136" s="31" t="s">
        <v>1079</v>
      </c>
      <c r="B136" s="31"/>
      <c r="C136" s="31"/>
      <c r="D136" s="31"/>
      <c r="E136" s="31"/>
    </row>
    <row r="137" customFormat="false" ht="30" hidden="false" customHeight="true" outlineLevel="0" collapsed="false">
      <c r="A137" s="31" t="s">
        <v>1080</v>
      </c>
      <c r="B137" s="31"/>
      <c r="C137" s="31"/>
      <c r="D137" s="31"/>
      <c r="E137" s="31"/>
    </row>
    <row r="138" customFormat="false" ht="30" hidden="false" customHeight="true" outlineLevel="0" collapsed="false">
      <c r="A138" s="32" t="s">
        <v>1081</v>
      </c>
      <c r="B138" s="32"/>
      <c r="C138" s="32"/>
      <c r="D138" s="32"/>
      <c r="E138" s="32"/>
    </row>
  </sheetData>
  <mergeCells count="9">
    <mergeCell ref="A130:E130"/>
    <mergeCell ref="A131:E131"/>
    <mergeCell ref="A132:E132"/>
    <mergeCell ref="A133:E133"/>
    <mergeCell ref="A134:E134"/>
    <mergeCell ref="A135:E135"/>
    <mergeCell ref="A136:E136"/>
    <mergeCell ref="A137:E137"/>
    <mergeCell ref="A138:E1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110"/>
  </cols>
  <sheetData>
    <row r="1" customFormat="false" ht="17.25" hidden="false" customHeight="true" outlineLevel="0" collapsed="false">
      <c r="A1" s="2" t="s">
        <v>1082</v>
      </c>
    </row>
    <row r="2" customFormat="false" ht="15" hidden="false" customHeight="true" outlineLevel="0" collapsed="false">
      <c r="A2" s="3" t="s">
        <v>1083</v>
      </c>
    </row>
    <row r="4" customFormat="false" ht="15" hidden="false" customHeight="true" outlineLevel="0" collapsed="false">
      <c r="A4" s="5" t="s">
        <v>1084</v>
      </c>
      <c r="B4" s="6"/>
    </row>
    <row r="5" customFormat="false" ht="30" hidden="false" customHeight="true" outlineLevel="0" collapsed="false">
      <c r="A5" s="10" t="s">
        <v>1085</v>
      </c>
      <c r="B5" s="111" t="s">
        <v>1086</v>
      </c>
    </row>
    <row r="6" customFormat="false" ht="15" hidden="false" customHeight="true" outlineLevel="0" collapsed="false">
      <c r="A6" s="10" t="s">
        <v>1087</v>
      </c>
      <c r="B6" s="111" t="s">
        <v>1088</v>
      </c>
    </row>
    <row r="7" customFormat="false" ht="15" hidden="false" customHeight="true" outlineLevel="0" collapsed="false">
      <c r="A7" s="10" t="s">
        <v>1089</v>
      </c>
      <c r="B7" s="111" t="s">
        <v>1090</v>
      </c>
    </row>
    <row r="8" customFormat="false" ht="15" hidden="false" customHeight="true" outlineLevel="0" collapsed="false">
      <c r="A8" s="5" t="s">
        <v>1091</v>
      </c>
      <c r="B8" s="6"/>
    </row>
    <row r="9" customFormat="false" ht="30" hidden="false" customHeight="true" outlineLevel="0" collapsed="false">
      <c r="A9" s="10" t="s">
        <v>1092</v>
      </c>
      <c r="B9" s="112" t="s">
        <v>1093</v>
      </c>
    </row>
    <row r="10" customFormat="false" ht="30" hidden="false" customHeight="true" outlineLevel="0" collapsed="false">
      <c r="A10" s="10" t="s">
        <v>1094</v>
      </c>
      <c r="B10" s="112" t="s">
        <v>1095</v>
      </c>
    </row>
    <row r="11" customFormat="false" ht="45" hidden="false" customHeight="true" outlineLevel="0" collapsed="false">
      <c r="A11" s="10" t="s">
        <v>1096</v>
      </c>
      <c r="B11" s="111" t="s">
        <v>1097</v>
      </c>
    </row>
    <row r="12" customFormat="false" ht="45" hidden="false" customHeight="true" outlineLevel="0" collapsed="false">
      <c r="A12" s="10" t="s">
        <v>1098</v>
      </c>
      <c r="B12" s="111" t="s">
        <v>1099</v>
      </c>
    </row>
    <row r="13" customFormat="false" ht="30" hidden="false" customHeight="true" outlineLevel="0" collapsed="false">
      <c r="A13" s="10" t="s">
        <v>165</v>
      </c>
      <c r="B13" s="111" t="s">
        <v>1100</v>
      </c>
    </row>
    <row r="14" customFormat="false" ht="15" hidden="false" customHeight="true" outlineLevel="0" collapsed="false">
      <c r="A14" s="10" t="s">
        <v>1101</v>
      </c>
      <c r="B14" s="111" t="s">
        <v>1102</v>
      </c>
    </row>
    <row r="15" customFormat="false" ht="15" hidden="false" customHeight="true" outlineLevel="0" collapsed="false">
      <c r="A15" s="5" t="s">
        <v>1103</v>
      </c>
      <c r="B15" s="6"/>
    </row>
    <row r="16" customFormat="false" ht="30" hidden="false" customHeight="true" outlineLevel="0" collapsed="false">
      <c r="A16" s="10" t="s">
        <v>1104</v>
      </c>
      <c r="B16" s="111" t="s">
        <v>1105</v>
      </c>
    </row>
    <row r="17" customFormat="false" ht="30" hidden="false" customHeight="true" outlineLevel="0" collapsed="false">
      <c r="A17" s="10" t="s">
        <v>1106</v>
      </c>
      <c r="B17" s="112" t="s">
        <v>1107</v>
      </c>
    </row>
    <row r="18" customFormat="false" ht="45" hidden="false" customHeight="true" outlineLevel="0" collapsed="false">
      <c r="A18" s="10" t="s">
        <v>1108</v>
      </c>
      <c r="B18" s="111" t="s">
        <v>1109</v>
      </c>
    </row>
    <row r="19" customFormat="false" ht="15" hidden="false" customHeight="true" outlineLevel="0" collapsed="false">
      <c r="A19" s="5" t="s">
        <v>1110</v>
      </c>
      <c r="B19" s="6"/>
    </row>
    <row r="20" customFormat="false" ht="60" hidden="false" customHeight="true" outlineLevel="0" collapsed="false">
      <c r="A20" s="10" t="s">
        <v>1111</v>
      </c>
      <c r="B20" s="111" t="s">
        <v>1112</v>
      </c>
    </row>
    <row r="21" customFormat="false" ht="45" hidden="false" customHeight="true" outlineLevel="0" collapsed="false">
      <c r="A21" s="10" t="s">
        <v>1113</v>
      </c>
      <c r="B21" s="111" t="s">
        <v>1114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115"/>
  </cols>
  <sheetData>
    <row r="1" customFormat="false" ht="17.25" hidden="false" customHeight="true" outlineLevel="0" collapsed="false">
      <c r="A1" s="2" t="s">
        <v>1115</v>
      </c>
    </row>
    <row r="2" customFormat="false" ht="15" hidden="false" customHeight="true" outlineLevel="0" collapsed="false">
      <c r="A2" s="3" t="s">
        <v>1116</v>
      </c>
    </row>
    <row r="4" customFormat="false" ht="15" hidden="false" customHeight="true" outlineLevel="0" collapsed="false">
      <c r="A4" s="5" t="s">
        <v>1117</v>
      </c>
      <c r="B4" s="6"/>
    </row>
    <row r="5" customFormat="false" ht="30" hidden="false" customHeight="true" outlineLevel="0" collapsed="false">
      <c r="A5" s="10" t="s">
        <v>1118</v>
      </c>
      <c r="B5" s="111" t="s">
        <v>1119</v>
      </c>
    </row>
    <row r="6" customFormat="false" ht="30" hidden="false" customHeight="true" outlineLevel="0" collapsed="false">
      <c r="A6" s="10" t="s">
        <v>1120</v>
      </c>
      <c r="B6" s="111" t="s">
        <v>1121</v>
      </c>
    </row>
    <row r="7" customFormat="false" ht="30" hidden="false" customHeight="true" outlineLevel="0" collapsed="false">
      <c r="A7" s="10" t="s">
        <v>1122</v>
      </c>
      <c r="B7" s="111" t="s">
        <v>1123</v>
      </c>
    </row>
    <row r="8" customFormat="false" ht="45" hidden="false" customHeight="true" outlineLevel="0" collapsed="false">
      <c r="A8" s="10" t="s">
        <v>1124</v>
      </c>
      <c r="B8" s="112" t="s">
        <v>1125</v>
      </c>
    </row>
    <row r="9" customFormat="false" ht="30" hidden="false" customHeight="true" outlineLevel="0" collapsed="false">
      <c r="A9" s="10" t="s">
        <v>1126</v>
      </c>
      <c r="B9" s="111" t="s">
        <v>1127</v>
      </c>
    </row>
    <row r="10" customFormat="false" ht="45" hidden="false" customHeight="true" outlineLevel="0" collapsed="false">
      <c r="A10" s="10" t="s">
        <v>1128</v>
      </c>
      <c r="B10" s="111" t="s">
        <v>1129</v>
      </c>
    </row>
    <row r="11" customFormat="false" ht="15" hidden="false" customHeight="true" outlineLevel="0" collapsed="false">
      <c r="A11" s="10" t="s">
        <v>1130</v>
      </c>
      <c r="B11" s="111" t="s">
        <v>1131</v>
      </c>
    </row>
    <row r="12" customFormat="false" ht="30" hidden="false" customHeight="true" outlineLevel="0" collapsed="false">
      <c r="A12" s="10" t="s">
        <v>1132</v>
      </c>
      <c r="B12" s="111" t="s">
        <v>1133</v>
      </c>
    </row>
    <row r="13" customFormat="false" ht="15" hidden="false" customHeight="true" outlineLevel="0" collapsed="false">
      <c r="A13" s="10" t="s">
        <v>1134</v>
      </c>
      <c r="B13" s="112" t="s">
        <v>1135</v>
      </c>
    </row>
    <row r="14" customFormat="false" ht="15" hidden="false" customHeight="true" outlineLevel="0" collapsed="false">
      <c r="A14" s="5" t="s">
        <v>1136</v>
      </c>
      <c r="B14" s="6"/>
    </row>
    <row r="15" customFormat="false" ht="15" hidden="false" customHeight="true" outlineLevel="0" collapsed="false">
      <c r="A15" s="10" t="s">
        <v>1137</v>
      </c>
      <c r="B15" s="111" t="s">
        <v>1138</v>
      </c>
    </row>
    <row r="16" customFormat="false" ht="30" hidden="false" customHeight="true" outlineLevel="0" collapsed="false">
      <c r="A16" s="10" t="s">
        <v>1139</v>
      </c>
      <c r="B16" s="111" t="s">
        <v>1140</v>
      </c>
    </row>
    <row r="17" customFormat="false" ht="45" hidden="false" customHeight="true" outlineLevel="0" collapsed="false">
      <c r="A17" s="10" t="s">
        <v>1141</v>
      </c>
      <c r="B17" s="111" t="s">
        <v>1142</v>
      </c>
    </row>
    <row r="18" customFormat="false" ht="30" hidden="false" customHeight="true" outlineLevel="0" collapsed="false">
      <c r="A18" s="10" t="s">
        <v>1143</v>
      </c>
      <c r="B18" s="111" t="s">
        <v>1144</v>
      </c>
    </row>
    <row r="19" customFormat="false" ht="30" hidden="false" customHeight="true" outlineLevel="0" collapsed="false">
      <c r="A19" s="10" t="s">
        <v>1145</v>
      </c>
      <c r="B19" s="111" t="s">
        <v>1146</v>
      </c>
    </row>
    <row r="20" customFormat="false" ht="15" hidden="false" customHeight="true" outlineLevel="0" collapsed="false">
      <c r="A20" s="10" t="s">
        <v>1147</v>
      </c>
      <c r="B20" s="111" t="s">
        <v>1148</v>
      </c>
    </row>
    <row r="21" customFormat="false" ht="30" hidden="false" customHeight="true" outlineLevel="0" collapsed="false">
      <c r="A21" s="10" t="s">
        <v>1149</v>
      </c>
      <c r="B21" s="111" t="s">
        <v>1150</v>
      </c>
    </row>
    <row r="22" customFormat="false" ht="15" hidden="false" customHeight="true" outlineLevel="0" collapsed="false">
      <c r="A22" s="10" t="s">
        <v>1151</v>
      </c>
      <c r="B22" s="111" t="s">
        <v>1152</v>
      </c>
    </row>
    <row r="23" customFormat="false" ht="15" hidden="false" customHeight="true" outlineLevel="0" collapsed="false">
      <c r="A23" s="10" t="s">
        <v>1153</v>
      </c>
      <c r="B23" s="112" t="s">
        <v>1154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6"/>
    <col collapsed="false" customWidth="true" hidden="false" outlineLevel="0" max="3" min="3" style="1" width="70"/>
    <col collapsed="false" customWidth="true" hidden="false" outlineLevel="0" max="4" min="4" style="1" width="10"/>
    <col collapsed="false" customWidth="true" hidden="false" outlineLevel="0" max="8" min="5" style="1" width="14"/>
    <col collapsed="false" customWidth="true" hidden="false" outlineLevel="0" max="9" min="9" style="1" width="50"/>
  </cols>
  <sheetData>
    <row r="1" customFormat="false" ht="17.25" hidden="false" customHeight="true" outlineLevel="0" collapsed="false">
      <c r="A1" s="2" t="s">
        <v>1155</v>
      </c>
    </row>
    <row r="2" customFormat="false" ht="15" hidden="false" customHeight="true" outlineLevel="0" collapsed="false">
      <c r="A2" s="3" t="s">
        <v>1156</v>
      </c>
    </row>
    <row r="4" customFormat="false" ht="15" hidden="false" customHeight="true" outlineLevel="0" collapsed="false">
      <c r="A4" s="5" t="s">
        <v>1157</v>
      </c>
      <c r="B4" s="6"/>
      <c r="C4" s="6"/>
      <c r="D4" s="6"/>
    </row>
    <row r="5" customFormat="false" ht="23.25" hidden="false" customHeight="true" outlineLevel="0" collapsed="false">
      <c r="A5" s="12" t="s">
        <v>1158</v>
      </c>
      <c r="B5" s="86" t="n">
        <v>19773</v>
      </c>
      <c r="C5" s="113" t="s">
        <v>1159</v>
      </c>
    </row>
    <row r="6" customFormat="false" ht="23.25" hidden="false" customHeight="true" outlineLevel="0" collapsed="false">
      <c r="A6" s="12" t="s">
        <v>1160</v>
      </c>
      <c r="B6" s="86" t="n">
        <v>21332</v>
      </c>
      <c r="C6" s="113" t="s">
        <v>1161</v>
      </c>
    </row>
    <row r="7" customFormat="false" ht="15" hidden="false" customHeight="true" outlineLevel="0" collapsed="false">
      <c r="A7" s="12" t="s">
        <v>1162</v>
      </c>
      <c r="B7" s="114" t="n">
        <f aca="false">E39</f>
        <v>18266</v>
      </c>
      <c r="C7" s="113" t="s">
        <v>1163</v>
      </c>
    </row>
    <row r="8" customFormat="false" ht="15" hidden="false" customHeight="true" outlineLevel="0" collapsed="false">
      <c r="A8" s="12" t="s">
        <v>1164</v>
      </c>
      <c r="B8" s="80" t="n">
        <v>19</v>
      </c>
      <c r="C8" s="113" t="s">
        <v>1165</v>
      </c>
    </row>
    <row r="9" customFormat="false" ht="15" hidden="false" customHeight="true" outlineLevel="0" collapsed="false">
      <c r="A9" s="12" t="s">
        <v>1166</v>
      </c>
      <c r="B9" s="19" t="n">
        <f aca="false">Nota13!B11</f>
        <v>5405088</v>
      </c>
      <c r="C9" s="113" t="s">
        <v>9</v>
      </c>
    </row>
    <row r="10" customFormat="false" ht="15" hidden="false" customHeight="true" outlineLevel="0" collapsed="false">
      <c r="A10" s="12" t="s">
        <v>1167</v>
      </c>
      <c r="B10" s="19" t="n">
        <f aca="false">Nota13!B7</f>
        <v>749430</v>
      </c>
      <c r="C10" s="113" t="s">
        <v>9</v>
      </c>
    </row>
    <row r="11" customFormat="false" ht="15" hidden="false" customHeight="true" outlineLevel="0" collapsed="false">
      <c r="A11" s="12" t="s">
        <v>1168</v>
      </c>
      <c r="B11" s="19" t="n">
        <f aca="false">Nota25!B11</f>
        <v>6429517.84</v>
      </c>
      <c r="C11" s="113" t="s">
        <v>1169</v>
      </c>
    </row>
    <row r="13" customFormat="false" ht="15" hidden="false" customHeight="true" outlineLevel="0" collapsed="false">
      <c r="A13" s="5" t="s">
        <v>1170</v>
      </c>
      <c r="B13" s="6"/>
      <c r="C13" s="6"/>
      <c r="D13" s="6"/>
    </row>
    <row r="14" customFormat="false" ht="15" hidden="false" customHeight="true" outlineLevel="0" collapsed="false">
      <c r="A14" s="12" t="s">
        <v>1171</v>
      </c>
      <c r="B14" s="82" t="n">
        <f aca="false">B7/B6</f>
        <v>0.856272267016689</v>
      </c>
      <c r="C14" s="113" t="s">
        <v>1172</v>
      </c>
    </row>
    <row r="15" customFormat="false" ht="15" hidden="false" customHeight="true" outlineLevel="0" collapsed="false">
      <c r="A15" s="12" t="s">
        <v>1173</v>
      </c>
      <c r="B15" s="82" t="n">
        <f aca="false">B5/B6</f>
        <v>0.926917307331708</v>
      </c>
      <c r="C15" s="113"/>
    </row>
    <row r="16" customFormat="false" ht="15" hidden="false" customHeight="true" outlineLevel="0" collapsed="false">
      <c r="A16" s="12" t="s">
        <v>1174</v>
      </c>
      <c r="B16" s="115" t="n">
        <f aca="false">B9/B5</f>
        <v>273.357001972387</v>
      </c>
      <c r="C16" s="113" t="s">
        <v>1175</v>
      </c>
    </row>
    <row r="17" customFormat="false" ht="15" hidden="false" customHeight="true" outlineLevel="0" collapsed="false">
      <c r="A17" s="12" t="s">
        <v>1176</v>
      </c>
      <c r="B17" s="116" t="n">
        <f aca="false">B16/B8</f>
        <v>14.3872106301256</v>
      </c>
      <c r="C17" s="113"/>
    </row>
    <row r="18" customFormat="false" ht="23.25" hidden="false" customHeight="true" outlineLevel="0" collapsed="false">
      <c r="A18" s="12" t="s">
        <v>1177</v>
      </c>
      <c r="B18" s="115" t="n">
        <f aca="false">(B9+B10)/B8</f>
        <v>323922</v>
      </c>
      <c r="C18" s="113" t="s">
        <v>1178</v>
      </c>
    </row>
    <row r="19" customFormat="false" ht="15" hidden="false" customHeight="true" outlineLevel="0" collapsed="false">
      <c r="A19" s="12" t="s">
        <v>1179</v>
      </c>
      <c r="B19" s="116" t="n">
        <f aca="false">B18/B7</f>
        <v>17.7336034161831</v>
      </c>
      <c r="C19" s="113"/>
    </row>
    <row r="20" customFormat="false" ht="15" hidden="false" customHeight="true" outlineLevel="0" collapsed="false">
      <c r="A20" s="12" t="s">
        <v>1180</v>
      </c>
      <c r="B20" s="82" t="n">
        <f aca="false">B11/Nota13!B19</f>
        <v>0.0663344403899449</v>
      </c>
      <c r="C20" s="113" t="s">
        <v>1181</v>
      </c>
    </row>
    <row r="22" customFormat="false" ht="30" hidden="false" customHeight="true" outlineLevel="0" collapsed="false">
      <c r="A22" s="117" t="s">
        <v>1182</v>
      </c>
      <c r="B22" s="117"/>
      <c r="C22" s="117"/>
      <c r="D22" s="117"/>
    </row>
    <row r="24" customFormat="false" ht="15" hidden="false" customHeight="true" outlineLevel="0" collapsed="false">
      <c r="A24" s="5" t="s">
        <v>1183</v>
      </c>
      <c r="B24" s="6"/>
      <c r="C24" s="6"/>
      <c r="D24" s="6"/>
    </row>
    <row r="25" customFormat="false" ht="30" hidden="false" customHeight="true" outlineLevel="0" collapsed="false">
      <c r="A25" s="10" t="s">
        <v>1184</v>
      </c>
      <c r="B25" s="32" t="s">
        <v>1185</v>
      </c>
      <c r="C25" s="32"/>
      <c r="D25" s="32"/>
    </row>
    <row r="26" customFormat="false" ht="30" hidden="false" customHeight="true" outlineLevel="0" collapsed="false">
      <c r="A26" s="10" t="s">
        <v>1186</v>
      </c>
      <c r="B26" s="32" t="s">
        <v>1187</v>
      </c>
      <c r="C26" s="32"/>
      <c r="D26" s="32"/>
    </row>
    <row r="27" customFormat="false" ht="30" hidden="false" customHeight="true" outlineLevel="0" collapsed="false">
      <c r="A27" s="10" t="s">
        <v>1188</v>
      </c>
      <c r="B27" s="32" t="s">
        <v>1189</v>
      </c>
      <c r="C27" s="32"/>
      <c r="D27" s="32"/>
    </row>
    <row r="28" customFormat="false" ht="30" hidden="false" customHeight="true" outlineLevel="0" collapsed="false">
      <c r="A28" s="10" t="s">
        <v>1190</v>
      </c>
      <c r="B28" s="32" t="s">
        <v>1191</v>
      </c>
      <c r="C28" s="32"/>
      <c r="D28" s="32"/>
    </row>
    <row r="29" customFormat="false" ht="30" hidden="false" customHeight="true" outlineLevel="0" collapsed="false">
      <c r="A29" s="10" t="s">
        <v>1192</v>
      </c>
      <c r="B29" s="32" t="s">
        <v>1193</v>
      </c>
      <c r="C29" s="32"/>
      <c r="D29" s="32"/>
    </row>
    <row r="30" customFormat="false" ht="30" hidden="false" customHeight="true" outlineLevel="0" collapsed="false">
      <c r="A30" s="10" t="s">
        <v>1194</v>
      </c>
      <c r="B30" s="118" t="s">
        <v>1195</v>
      </c>
      <c r="C30" s="118"/>
      <c r="D30" s="118"/>
    </row>
    <row r="31" customFormat="false" ht="30" hidden="false" customHeight="true" outlineLevel="0" collapsed="false">
      <c r="A31" s="10" t="s">
        <v>1196</v>
      </c>
      <c r="B31" s="32" t="s">
        <v>1197</v>
      </c>
      <c r="C31" s="32"/>
      <c r="D31" s="32"/>
    </row>
    <row r="32" customFormat="false" ht="30" hidden="false" customHeight="true" outlineLevel="0" collapsed="false">
      <c r="A32" s="10" t="s">
        <v>1198</v>
      </c>
      <c r="B32" s="32" t="s">
        <v>1199</v>
      </c>
      <c r="C32" s="32"/>
      <c r="D32" s="32"/>
    </row>
    <row r="34" customFormat="false" ht="15" hidden="false" customHeight="true" outlineLevel="0" collapsed="false">
      <c r="A34" s="5" t="s">
        <v>1200</v>
      </c>
      <c r="B34" s="6"/>
      <c r="C34" s="6"/>
      <c r="D34" s="6"/>
      <c r="E34" s="6"/>
      <c r="F34" s="6"/>
      <c r="G34" s="6"/>
      <c r="H34" s="6"/>
    </row>
    <row r="35" customFormat="false" ht="30" hidden="false" customHeight="true" outlineLevel="0" collapsed="false">
      <c r="A35" s="59" t="s">
        <v>959</v>
      </c>
      <c r="B35" s="59" t="s">
        <v>1201</v>
      </c>
      <c r="C35" s="59" t="s">
        <v>1202</v>
      </c>
      <c r="D35" s="59" t="s">
        <v>1203</v>
      </c>
      <c r="E35" s="59" t="s">
        <v>1204</v>
      </c>
      <c r="F35" s="59" t="s">
        <v>1205</v>
      </c>
      <c r="G35" s="59" t="s">
        <v>1206</v>
      </c>
      <c r="H35" s="59" t="s">
        <v>1207</v>
      </c>
    </row>
    <row r="36" customFormat="false" ht="15" hidden="false" customHeight="true" outlineLevel="0" collapsed="false">
      <c r="A36" s="10" t="s">
        <v>964</v>
      </c>
      <c r="B36" s="95" t="n">
        <v>19</v>
      </c>
      <c r="C36" s="95" t="n">
        <v>0</v>
      </c>
      <c r="D36" s="95" t="n">
        <v>271570</v>
      </c>
      <c r="E36" s="95" t="n">
        <v>14293</v>
      </c>
      <c r="F36" s="94" t="n">
        <f aca="false">D36/B36</f>
        <v>14293.1578947368</v>
      </c>
      <c r="G36" s="106" t="n">
        <f aca="false">F36/23500</f>
        <v>0.608219484882419</v>
      </c>
      <c r="H36" s="106" t="n">
        <f aca="false">F36/21332</f>
        <v>0.670033653419128</v>
      </c>
      <c r="I36" s="3" t="s">
        <v>1208</v>
      </c>
    </row>
    <row r="37" customFormat="false" ht="15" hidden="false" customHeight="true" outlineLevel="0" collapsed="false">
      <c r="A37" s="10" t="s">
        <v>5</v>
      </c>
      <c r="B37" s="95" t="n">
        <v>19</v>
      </c>
      <c r="C37" s="95" t="n">
        <v>0</v>
      </c>
      <c r="D37" s="95" t="n">
        <v>311666</v>
      </c>
      <c r="E37" s="95" t="n">
        <v>16403</v>
      </c>
      <c r="F37" s="94" t="n">
        <f aca="false">D37/B37</f>
        <v>16403.4736842105</v>
      </c>
      <c r="G37" s="106" t="n">
        <f aca="false">F37/23500</f>
        <v>0.698020156774916</v>
      </c>
      <c r="H37" s="106" t="n">
        <f aca="false">F37/21332</f>
        <v>0.768960889002931</v>
      </c>
      <c r="I37" s="3" t="s">
        <v>1209</v>
      </c>
    </row>
    <row r="38" customFormat="false" ht="15" hidden="false" customHeight="true" outlineLevel="0" collapsed="false">
      <c r="A38" s="10" t="s">
        <v>4</v>
      </c>
      <c r="B38" s="95" t="n">
        <v>19</v>
      </c>
      <c r="C38" s="95" t="n">
        <v>0</v>
      </c>
      <c r="D38" s="95" t="n">
        <v>341190</v>
      </c>
      <c r="E38" s="95" t="n">
        <v>17957</v>
      </c>
      <c r="F38" s="94" t="n">
        <f aca="false">D38/B38</f>
        <v>17957.3684210526</v>
      </c>
      <c r="G38" s="106" t="n">
        <f aca="false">F38/23500</f>
        <v>0.764143337066069</v>
      </c>
      <c r="H38" s="106" t="n">
        <f aca="false">F38/21332</f>
        <v>0.841804257502936</v>
      </c>
      <c r="I38" s="3"/>
    </row>
    <row r="39" customFormat="false" ht="15" hidden="false" customHeight="true" outlineLevel="0" collapsed="false">
      <c r="A39" s="10" t="s">
        <v>3</v>
      </c>
      <c r="B39" s="95" t="n">
        <v>19</v>
      </c>
      <c r="C39" s="95" t="n">
        <v>0</v>
      </c>
      <c r="D39" s="95" t="n">
        <v>347057</v>
      </c>
      <c r="E39" s="95" t="n">
        <v>18266</v>
      </c>
      <c r="F39" s="94" t="n">
        <f aca="false">D39/B39</f>
        <v>18266.1578947368</v>
      </c>
      <c r="G39" s="106" t="n">
        <f aca="false">F39/23500</f>
        <v>0.777283314669653</v>
      </c>
      <c r="H39" s="106" t="n">
        <f aca="false">F39/21332</f>
        <v>0.856279668795089</v>
      </c>
      <c r="I39" s="3" t="s">
        <v>1210</v>
      </c>
    </row>
    <row r="40" customFormat="false" ht="15" hidden="false" customHeight="true" outlineLevel="0" collapsed="false">
      <c r="A40" s="10" t="s">
        <v>965</v>
      </c>
      <c r="B40" s="95" t="n">
        <v>19</v>
      </c>
      <c r="C40" s="95" t="n">
        <v>0</v>
      </c>
      <c r="D40" s="95" t="n">
        <v>341787</v>
      </c>
      <c r="E40" s="95" t="n">
        <v>17989</v>
      </c>
      <c r="F40" s="94" t="n">
        <f aca="false">D40/B40</f>
        <v>17988.7894736842</v>
      </c>
      <c r="G40" s="106" t="n">
        <f aca="false">F40/23500</f>
        <v>0.765480403135498</v>
      </c>
      <c r="H40" s="106" t="n">
        <f aca="false">F40/21332</f>
        <v>0.84327721140466</v>
      </c>
      <c r="I40" s="3"/>
    </row>
    <row r="41" customFormat="false" ht="15" hidden="false" customHeight="true" outlineLevel="0" collapsed="false">
      <c r="A41" s="10" t="s">
        <v>1211</v>
      </c>
      <c r="B41" s="95" t="n">
        <v>3</v>
      </c>
      <c r="C41" s="95" t="n">
        <v>0</v>
      </c>
      <c r="D41" s="95" t="n">
        <v>55240</v>
      </c>
      <c r="E41" s="95" t="n">
        <v>18413</v>
      </c>
      <c r="F41" s="94" t="n">
        <f aca="false">D41/B41</f>
        <v>18413.3333333333</v>
      </c>
      <c r="G41" s="106" t="n">
        <f aca="false">F41/23500</f>
        <v>0.78354609929078</v>
      </c>
      <c r="H41" s="106" t="n">
        <f aca="false">F41/21332</f>
        <v>0.863178948684293</v>
      </c>
      <c r="I41" s="3" t="s">
        <v>1212</v>
      </c>
    </row>
    <row r="42" customFormat="false" ht="15" hidden="false" customHeight="true" outlineLevel="0" collapsed="false">
      <c r="A42" s="3" t="s">
        <v>1213</v>
      </c>
    </row>
    <row r="44" customFormat="false" ht="15" hidden="false" customHeight="true" outlineLevel="0" collapsed="false">
      <c r="A44" s="5" t="s">
        <v>1214</v>
      </c>
      <c r="B44" s="6"/>
      <c r="C44" s="6"/>
      <c r="D44" s="6"/>
      <c r="E44" s="6"/>
      <c r="F44" s="6"/>
      <c r="G44" s="6"/>
      <c r="H44" s="6"/>
    </row>
    <row r="45" customFormat="false" ht="15" hidden="false" customHeight="true" outlineLevel="0" collapsed="false">
      <c r="A45" s="4" t="s">
        <v>2</v>
      </c>
      <c r="B45" s="4" t="s">
        <v>3</v>
      </c>
      <c r="C45" s="4" t="s">
        <v>4</v>
      </c>
      <c r="D45" s="4" t="s">
        <v>1215</v>
      </c>
    </row>
    <row r="46" customFormat="false" ht="15" hidden="false" customHeight="true" outlineLevel="0" collapsed="false">
      <c r="A46" s="12" t="s">
        <v>1216</v>
      </c>
      <c r="B46" s="57" t="n">
        <f aca="false">Nota13!B11+Nota13!B7</f>
        <v>6154518</v>
      </c>
      <c r="C46" s="57" t="n">
        <f aca="false">Nota13!C11+Nota13!C7</f>
        <v>6357712</v>
      </c>
      <c r="D46" s="106" t="n">
        <f aca="false">B46/C46-1</f>
        <v>-0.0319602397843752</v>
      </c>
    </row>
    <row r="47" customFormat="false" ht="15" hidden="false" customHeight="true" outlineLevel="0" collapsed="false">
      <c r="A47" s="12" t="s">
        <v>1217</v>
      </c>
      <c r="B47" s="94" t="n">
        <f aca="false">D39</f>
        <v>347057</v>
      </c>
      <c r="C47" s="94" t="n">
        <f aca="false">D38</f>
        <v>341190</v>
      </c>
      <c r="D47" s="106" t="n">
        <f aca="false">B47/C47-1</f>
        <v>0.0171956974119991</v>
      </c>
    </row>
    <row r="48" customFormat="false" ht="15" hidden="false" customHeight="true" outlineLevel="0" collapsed="false">
      <c r="A48" s="10" t="s">
        <v>1218</v>
      </c>
      <c r="B48" s="119" t="n">
        <f aca="false">B46/B47</f>
        <v>17.7334501249074</v>
      </c>
      <c r="C48" s="119" t="n">
        <f aca="false">C46/C47</f>
        <v>18.633934171576</v>
      </c>
      <c r="D48" s="106" t="n">
        <f aca="false">B48/C48-1</f>
        <v>-0.0483249558776542</v>
      </c>
    </row>
    <row r="49" customFormat="false" ht="15" hidden="false" customHeight="true" outlineLevel="0" collapsed="false">
      <c r="A49" s="17" t="s">
        <v>1219</v>
      </c>
    </row>
    <row r="51" customFormat="false" ht="15" hidden="false" customHeight="true" outlineLevel="0" collapsed="false">
      <c r="A51" s="5" t="s">
        <v>1220</v>
      </c>
      <c r="B51" s="6"/>
      <c r="C51" s="6"/>
      <c r="D51" s="6"/>
      <c r="E51" s="6"/>
      <c r="F51" s="6"/>
      <c r="G51" s="6"/>
      <c r="H51" s="6"/>
    </row>
    <row r="52" customFormat="false" ht="15" hidden="false" customHeight="true" outlineLevel="0" collapsed="false">
      <c r="A52" s="12" t="s">
        <v>1221</v>
      </c>
      <c r="B52" s="57" t="n">
        <f aca="false">Nota13!B11</f>
        <v>5405088</v>
      </c>
      <c r="C52" s="57" t="n">
        <f aca="false">Nota13!C11</f>
        <v>5562796</v>
      </c>
    </row>
    <row r="53" customFormat="false" ht="15" hidden="false" customHeight="true" outlineLevel="0" collapsed="false">
      <c r="A53" s="12" t="s">
        <v>1222</v>
      </c>
      <c r="B53" s="120" t="n">
        <v>19773</v>
      </c>
      <c r="C53" s="120" t="n">
        <v>19753</v>
      </c>
    </row>
    <row r="54" customFormat="false" ht="15" hidden="false" customHeight="true" outlineLevel="0" collapsed="false">
      <c r="A54" s="10" t="s">
        <v>1223</v>
      </c>
      <c r="B54" s="121" t="n">
        <f aca="false">B52/B53</f>
        <v>273.357001972387</v>
      </c>
      <c r="C54" s="121" t="n">
        <f aca="false">C52/C53</f>
        <v>281.617779577786</v>
      </c>
      <c r="D54" s="106" t="n">
        <f aca="false">B54/C54-1</f>
        <v>-0.0293332957094684</v>
      </c>
    </row>
    <row r="56" customFormat="false" ht="15" hidden="false" customHeight="true" outlineLevel="0" collapsed="false">
      <c r="A56" s="70" t="s">
        <v>1224</v>
      </c>
    </row>
    <row r="57" customFormat="false" ht="15" hidden="false" customHeight="true" outlineLevel="0" collapsed="false">
      <c r="A57" s="107" t="s">
        <v>959</v>
      </c>
      <c r="B57" s="107" t="s">
        <v>1225</v>
      </c>
      <c r="C57" s="107" t="s">
        <v>1201</v>
      </c>
      <c r="D57" s="107" t="s">
        <v>1202</v>
      </c>
      <c r="E57" s="107" t="s">
        <v>1203</v>
      </c>
      <c r="F57" s="107" t="s">
        <v>1204</v>
      </c>
      <c r="G57" s="107" t="s">
        <v>1226</v>
      </c>
      <c r="H57" s="107" t="s">
        <v>193</v>
      </c>
    </row>
    <row r="58" customFormat="false" ht="15" hidden="false" customHeight="true" outlineLevel="0" collapsed="false">
      <c r="A58" s="122" t="s">
        <v>963</v>
      </c>
      <c r="B58" s="122" t="s">
        <v>1227</v>
      </c>
      <c r="C58" s="122" t="n">
        <v>19</v>
      </c>
      <c r="D58" s="122" t="n">
        <v>0</v>
      </c>
      <c r="E58" s="122" t="n">
        <v>4800</v>
      </c>
      <c r="F58" s="122" t="n">
        <v>4800</v>
      </c>
      <c r="G58" s="123" t="n">
        <f aca="false">IFERROR(E58/F58,"")</f>
        <v>1</v>
      </c>
      <c r="H58" s="1" t="s">
        <v>1228</v>
      </c>
    </row>
    <row r="59" customFormat="false" ht="15" hidden="false" customHeight="true" outlineLevel="0" collapsed="false">
      <c r="A59" s="122" t="s">
        <v>1229</v>
      </c>
      <c r="B59" s="122" t="s">
        <v>1227</v>
      </c>
      <c r="C59" s="122" t="n">
        <v>19</v>
      </c>
      <c r="D59" s="122" t="n">
        <v>0</v>
      </c>
      <c r="E59" s="122" t="n">
        <v>215108</v>
      </c>
      <c r="F59" s="122" t="n">
        <v>16547</v>
      </c>
      <c r="G59" s="123" t="n">
        <f aca="false">IFERROR(E59/F59,"")</f>
        <v>12.9998186982535</v>
      </c>
      <c r="H59" s="1" t="s">
        <v>1230</v>
      </c>
    </row>
    <row r="60" customFormat="false" ht="15" hidden="false" customHeight="true" outlineLevel="0" collapsed="false">
      <c r="A60" s="122" t="s">
        <v>1231</v>
      </c>
      <c r="B60" s="122" t="s">
        <v>1227</v>
      </c>
      <c r="C60" s="122" t="n">
        <v>19</v>
      </c>
      <c r="D60" s="122" t="n">
        <v>0</v>
      </c>
      <c r="E60" s="122" t="n">
        <v>317911</v>
      </c>
      <c r="F60" s="122" t="n">
        <v>16732</v>
      </c>
      <c r="G60" s="123" t="n">
        <f aca="false">IFERROR(E60/F60,"")</f>
        <v>19.0001792971552</v>
      </c>
    </row>
    <row r="61" customFormat="false" ht="15" hidden="false" customHeight="true" outlineLevel="0" collapsed="false">
      <c r="A61" s="122" t="s">
        <v>1232</v>
      </c>
      <c r="B61" s="122" t="s">
        <v>1227</v>
      </c>
      <c r="C61" s="122" t="n">
        <v>19</v>
      </c>
      <c r="D61" s="122" t="n">
        <v>0</v>
      </c>
      <c r="E61" s="122" t="n">
        <v>318286</v>
      </c>
      <c r="F61" s="122" t="n">
        <v>16752</v>
      </c>
      <c r="G61" s="123" t="n">
        <f aca="false">IFERROR(E61/F61,"")</f>
        <v>18.9998806112703</v>
      </c>
    </row>
    <row r="62" customFormat="false" ht="15" hidden="false" customHeight="true" outlineLevel="0" collapsed="false">
      <c r="A62" s="122" t="s">
        <v>1233</v>
      </c>
      <c r="B62" s="122" t="s">
        <v>1227</v>
      </c>
      <c r="C62" s="122" t="n">
        <v>19</v>
      </c>
      <c r="D62" s="122" t="n">
        <v>0</v>
      </c>
      <c r="E62" s="122" t="n">
        <v>338309</v>
      </c>
      <c r="F62" s="122" t="n">
        <v>17806</v>
      </c>
      <c r="G62" s="123" t="n">
        <f aca="false">IFERROR(E62/F62,"")</f>
        <v>18.9997191957767</v>
      </c>
    </row>
    <row r="63" customFormat="false" ht="15" hidden="false" customHeight="true" outlineLevel="0" collapsed="false">
      <c r="A63" s="122" t="s">
        <v>1234</v>
      </c>
      <c r="B63" s="122" t="s">
        <v>1227</v>
      </c>
      <c r="C63" s="122" t="n">
        <v>19</v>
      </c>
      <c r="D63" s="122" t="n">
        <v>0</v>
      </c>
      <c r="E63" s="122" t="n">
        <v>325783</v>
      </c>
      <c r="F63" s="122" t="n">
        <v>17146</v>
      </c>
      <c r="G63" s="123" t="n">
        <f aca="false">IFERROR(E63/F63,"")</f>
        <v>19.0005249037676</v>
      </c>
    </row>
    <row r="64" customFormat="false" ht="15" hidden="false" customHeight="true" outlineLevel="0" collapsed="false">
      <c r="A64" s="122" t="s">
        <v>1235</v>
      </c>
      <c r="B64" s="122" t="s">
        <v>1227</v>
      </c>
      <c r="C64" s="122" t="n">
        <v>19</v>
      </c>
      <c r="D64" s="122" t="n">
        <v>0</v>
      </c>
      <c r="E64" s="122" t="n">
        <v>302222</v>
      </c>
      <c r="F64" s="122" t="n">
        <v>15906</v>
      </c>
      <c r="G64" s="123" t="n">
        <f aca="false">IFERROR(E64/F64,"")</f>
        <v>19.0005029548598</v>
      </c>
    </row>
    <row r="65" customFormat="false" ht="15" hidden="false" customHeight="true" outlineLevel="0" collapsed="false">
      <c r="A65" s="122" t="s">
        <v>1236</v>
      </c>
      <c r="B65" s="122" t="s">
        <v>1227</v>
      </c>
      <c r="C65" s="122" t="n">
        <v>19</v>
      </c>
      <c r="D65" s="122" t="n">
        <v>0</v>
      </c>
      <c r="E65" s="122" t="n">
        <v>330486</v>
      </c>
      <c r="F65" s="122" t="n">
        <v>17394</v>
      </c>
      <c r="G65" s="123" t="n">
        <f aca="false">IFERROR(E65/F65,"")</f>
        <v>19</v>
      </c>
    </row>
    <row r="66" customFormat="false" ht="15" hidden="false" customHeight="true" outlineLevel="0" collapsed="false">
      <c r="A66" s="122" t="s">
        <v>1237</v>
      </c>
      <c r="B66" s="122" t="s">
        <v>1238</v>
      </c>
      <c r="C66" s="122" t="n">
        <v>21</v>
      </c>
      <c r="D66" s="122" t="n">
        <v>1</v>
      </c>
      <c r="E66" s="122" t="n">
        <v>222500</v>
      </c>
      <c r="F66" s="122" t="n">
        <v>10595</v>
      </c>
      <c r="G66" s="123" t="n">
        <f aca="false">IFERROR(E66/F66,"")</f>
        <v>21.0004719207173</v>
      </c>
      <c r="H66" s="1" t="s">
        <v>1239</v>
      </c>
    </row>
    <row r="67" customFormat="false" ht="15" hidden="false" customHeight="true" outlineLevel="0" collapsed="false">
      <c r="A67" s="122" t="s">
        <v>1240</v>
      </c>
      <c r="B67" s="122" t="s">
        <v>1227</v>
      </c>
      <c r="C67" s="122" t="n">
        <v>19</v>
      </c>
      <c r="D67" s="122" t="n">
        <v>0</v>
      </c>
      <c r="E67" s="122" t="n">
        <v>330000</v>
      </c>
      <c r="F67" s="122" t="n">
        <v>17368</v>
      </c>
      <c r="G67" s="123" t="n">
        <f aca="false">IFERROR(E67/F67,"")</f>
        <v>19.0004606172271</v>
      </c>
    </row>
    <row r="68" customFormat="false" ht="15" hidden="false" customHeight="true" outlineLevel="0" collapsed="false">
      <c r="A68" s="122" t="s">
        <v>1241</v>
      </c>
      <c r="B68" s="122" t="s">
        <v>1227</v>
      </c>
      <c r="C68" s="122" t="n">
        <v>19</v>
      </c>
      <c r="D68" s="122" t="n">
        <v>0</v>
      </c>
      <c r="E68" s="122" t="n">
        <v>364000</v>
      </c>
      <c r="F68" s="122" t="n">
        <v>19158</v>
      </c>
      <c r="G68" s="123" t="n">
        <f aca="false">IFERROR(E68/F68,"")</f>
        <v>18.9998956049692</v>
      </c>
    </row>
    <row r="69" customFormat="false" ht="15" hidden="false" customHeight="true" outlineLevel="0" collapsed="false">
      <c r="A69" s="122" t="s">
        <v>1242</v>
      </c>
      <c r="B69" s="122" t="s">
        <v>1227</v>
      </c>
      <c r="C69" s="122" t="n">
        <v>19</v>
      </c>
      <c r="D69" s="122" t="n">
        <v>0</v>
      </c>
      <c r="E69" s="122" t="n">
        <v>324700</v>
      </c>
      <c r="F69" s="122" t="n">
        <v>17089</v>
      </c>
      <c r="G69" s="123" t="n">
        <f aca="false">IFERROR(E69/F69,"")</f>
        <v>19.0005266545731</v>
      </c>
    </row>
    <row r="70" customFormat="false" ht="15" hidden="false" customHeight="true" outlineLevel="0" collapsed="false">
      <c r="A70" s="122" t="s">
        <v>1243</v>
      </c>
      <c r="B70" s="122" t="s">
        <v>1227</v>
      </c>
      <c r="C70" s="122" t="n">
        <v>19</v>
      </c>
      <c r="D70" s="122" t="n">
        <v>1</v>
      </c>
      <c r="E70" s="122" t="n">
        <v>345700</v>
      </c>
      <c r="F70" s="122" t="n">
        <v>18195</v>
      </c>
      <c r="G70" s="123" t="n">
        <f aca="false">IFERROR(E70/F70,"")</f>
        <v>18.9997251992306</v>
      </c>
    </row>
    <row r="71" customFormat="false" ht="15" hidden="false" customHeight="true" outlineLevel="0" collapsed="false">
      <c r="A71" s="122" t="s">
        <v>1244</v>
      </c>
      <c r="B71" s="122" t="s">
        <v>1227</v>
      </c>
      <c r="C71" s="122" t="n">
        <v>19</v>
      </c>
      <c r="D71" s="122" t="n">
        <v>1</v>
      </c>
      <c r="E71" s="122" t="n">
        <v>364080</v>
      </c>
      <c r="F71" s="122" t="n">
        <v>19162</v>
      </c>
      <c r="G71" s="123" t="n">
        <f aca="false">IFERROR(E71/F71,"")</f>
        <v>19.0001043732387</v>
      </c>
    </row>
    <row r="72" customFormat="false" ht="15" hidden="false" customHeight="true" outlineLevel="0" collapsed="false">
      <c r="A72" s="122" t="s">
        <v>1245</v>
      </c>
      <c r="B72" s="122" t="s">
        <v>1227</v>
      </c>
      <c r="C72" s="122" t="n">
        <v>19</v>
      </c>
      <c r="D72" s="122" t="n">
        <v>3</v>
      </c>
      <c r="E72" s="122" t="n">
        <v>406000</v>
      </c>
      <c r="F72" s="122" t="n">
        <v>21368</v>
      </c>
      <c r="G72" s="123" t="n">
        <f aca="false">IFERROR(E72/F72,"")</f>
        <v>19.0003743916136</v>
      </c>
      <c r="H72" s="1" t="s">
        <v>1246</v>
      </c>
    </row>
    <row r="73" customFormat="false" ht="15" hidden="false" customHeight="true" outlineLevel="0" collapsed="false">
      <c r="A73" s="122" t="s">
        <v>1247</v>
      </c>
      <c r="B73" s="122" t="s">
        <v>1227</v>
      </c>
      <c r="C73" s="122" t="n">
        <v>19</v>
      </c>
      <c r="D73" s="122" t="n">
        <v>0</v>
      </c>
      <c r="E73" s="122" t="n">
        <v>355000</v>
      </c>
      <c r="F73" s="122" t="n">
        <v>18684</v>
      </c>
      <c r="G73" s="123" t="n">
        <f aca="false">IFERROR(E73/F73,"")</f>
        <v>19.0002140869193</v>
      </c>
    </row>
    <row r="74" customFormat="false" ht="15" hidden="false" customHeight="true" outlineLevel="0" collapsed="false">
      <c r="A74" s="122" t="s">
        <v>1248</v>
      </c>
      <c r="B74" s="122" t="s">
        <v>1227</v>
      </c>
      <c r="C74" s="122" t="n">
        <v>19</v>
      </c>
      <c r="D74" s="122" t="n">
        <v>0</v>
      </c>
      <c r="E74" s="122" t="n">
        <v>341500</v>
      </c>
      <c r="F74" s="122" t="n">
        <v>17974</v>
      </c>
      <c r="G74" s="123" t="n">
        <f aca="false">IFERROR(E74/F74,"")</f>
        <v>18.9996661844887</v>
      </c>
    </row>
    <row r="75" customFormat="false" ht="15" hidden="false" customHeight="true" outlineLevel="0" collapsed="false">
      <c r="A75" s="122" t="s">
        <v>1249</v>
      </c>
      <c r="B75" s="122" t="s">
        <v>1227</v>
      </c>
      <c r="C75" s="122" t="n">
        <v>19</v>
      </c>
      <c r="D75" s="122" t="n">
        <v>0</v>
      </c>
      <c r="E75" s="122" t="n">
        <v>97012</v>
      </c>
      <c r="F75" s="122" t="n">
        <v>16169</v>
      </c>
      <c r="G75" s="123" t="n">
        <f aca="false">IFERROR(E75/F75,"")</f>
        <v>5.99987630651246</v>
      </c>
      <c r="H75" s="1" t="s">
        <v>1250</v>
      </c>
    </row>
    <row r="76" customFormat="false" ht="15" hidden="false" customHeight="true" outlineLevel="0" collapsed="false">
      <c r="A76" s="122" t="s">
        <v>1251</v>
      </c>
      <c r="B76" s="122" t="s">
        <v>1227</v>
      </c>
      <c r="C76" s="122" t="n">
        <v>19</v>
      </c>
      <c r="D76" s="122" t="n">
        <v>0</v>
      </c>
      <c r="E76" s="122" t="n">
        <v>87000</v>
      </c>
      <c r="F76" s="122" t="n">
        <v>21750</v>
      </c>
      <c r="G76" s="123" t="n">
        <f aca="false">IFERROR(E76/F76,"")</f>
        <v>4</v>
      </c>
      <c r="H76" s="1" t="s">
        <v>1250</v>
      </c>
    </row>
    <row r="77" customFormat="false" ht="15" hidden="false" customHeight="true" outlineLevel="0" collapsed="false">
      <c r="A77" s="122" t="s">
        <v>1252</v>
      </c>
      <c r="B77" s="122" t="s">
        <v>1227</v>
      </c>
      <c r="C77" s="122" t="n">
        <v>19</v>
      </c>
      <c r="D77" s="122" t="n">
        <v>0</v>
      </c>
      <c r="E77" s="122" t="n">
        <v>289500</v>
      </c>
      <c r="F77" s="122" t="n">
        <v>15237</v>
      </c>
      <c r="G77" s="123" t="n">
        <f aca="false">IFERROR(E77/F77,"")</f>
        <v>18.9998031108486</v>
      </c>
    </row>
    <row r="78" customFormat="false" ht="15" hidden="false" customHeight="true" outlineLevel="0" collapsed="false">
      <c r="A78" s="122" t="s">
        <v>1253</v>
      </c>
      <c r="B78" s="122" t="s">
        <v>1227</v>
      </c>
      <c r="C78" s="122" t="n">
        <v>19</v>
      </c>
      <c r="D78" s="122" t="n">
        <v>0</v>
      </c>
      <c r="E78" s="122" t="n">
        <v>140800</v>
      </c>
      <c r="F78" s="122" t="n">
        <v>15644</v>
      </c>
      <c r="G78" s="123" t="n">
        <f aca="false">IFERROR(E78/F78,"")</f>
        <v>9.00025568908208</v>
      </c>
      <c r="H78" s="1" t="s">
        <v>1250</v>
      </c>
    </row>
    <row r="79" customFormat="false" ht="15" hidden="false" customHeight="true" outlineLevel="0" collapsed="false">
      <c r="A79" s="122" t="s">
        <v>1254</v>
      </c>
      <c r="B79" s="122" t="s">
        <v>1238</v>
      </c>
      <c r="C79" s="122" t="n">
        <v>8</v>
      </c>
      <c r="D79" s="122" t="n">
        <v>0</v>
      </c>
      <c r="E79" s="122" t="n">
        <v>9000</v>
      </c>
      <c r="F79" s="122" t="n">
        <v>9000</v>
      </c>
      <c r="G79" s="123" t="n">
        <f aca="false">IFERROR(E79/F79,"")</f>
        <v>1</v>
      </c>
      <c r="H79" s="1" t="s">
        <v>1255</v>
      </c>
    </row>
    <row r="80" customFormat="false" ht="15" hidden="false" customHeight="true" outlineLevel="0" collapsed="false">
      <c r="A80" s="122" t="s">
        <v>1256</v>
      </c>
      <c r="B80" s="122" t="s">
        <v>1227</v>
      </c>
      <c r="C80" s="122" t="n">
        <v>19</v>
      </c>
      <c r="D80" s="122" t="n">
        <v>0</v>
      </c>
      <c r="E80" s="122" t="n">
        <v>38000</v>
      </c>
      <c r="F80" s="122" t="n">
        <v>12667</v>
      </c>
      <c r="G80" s="123" t="n">
        <f aca="false">IFERROR(E80/F80,"")</f>
        <v>2.99992105470909</v>
      </c>
      <c r="H80" s="1" t="s">
        <v>1250</v>
      </c>
    </row>
    <row r="81" customFormat="false" ht="15" hidden="false" customHeight="true" outlineLevel="0" collapsed="false">
      <c r="A81" s="75" t="s">
        <v>1257</v>
      </c>
    </row>
  </sheetData>
  <mergeCells count="9">
    <mergeCell ref="A22:D22"/>
    <mergeCell ref="B25:D25"/>
    <mergeCell ref="B26:D26"/>
    <mergeCell ref="B27:D27"/>
    <mergeCell ref="B28:D28"/>
    <mergeCell ref="B29:D29"/>
    <mergeCell ref="B30:D30"/>
    <mergeCell ref="B31:D31"/>
    <mergeCell ref="B32:D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20"/>
    <col collapsed="false" customWidth="true" hidden="false" outlineLevel="0" max="3" min="3" style="1" width="16"/>
    <col collapsed="false" customWidth="true" hidden="false" outlineLevel="0" max="4" min="4" style="1" width="14"/>
    <col collapsed="false" customWidth="true" hidden="false" outlineLevel="0" max="5" min="5" style="1" width="12"/>
    <col collapsed="false" customWidth="true" hidden="false" outlineLevel="0" max="7" min="6" style="1" width="14"/>
    <col collapsed="false" customWidth="true" hidden="false" outlineLevel="0" max="8" min="8" style="1" width="44"/>
    <col collapsed="false" customWidth="true" hidden="false" outlineLevel="0" max="9" min="9" style="1" width="2"/>
    <col collapsed="false" customWidth="true" hidden="false" outlineLevel="0" max="10" min="10" style="1" width="40"/>
    <col collapsed="false" customWidth="true" hidden="false" outlineLevel="0" max="12" min="11" style="1" width="16"/>
    <col collapsed="false" customWidth="true" hidden="false" outlineLevel="0" max="13" min="13" style="1" width="14"/>
  </cols>
  <sheetData>
    <row r="1" customFormat="false" ht="17.25" hidden="false" customHeight="true" outlineLevel="0" collapsed="false">
      <c r="A1" s="2" t="s">
        <v>1258</v>
      </c>
    </row>
    <row r="2" customFormat="false" ht="15" hidden="false" customHeight="true" outlineLevel="0" collapsed="false">
      <c r="A2" s="17" t="s">
        <v>1259</v>
      </c>
    </row>
    <row r="3" customFormat="false" ht="15" hidden="false" customHeight="true" outlineLevel="0" collapsed="false">
      <c r="A3" s="3" t="s">
        <v>1260</v>
      </c>
    </row>
    <row r="5" customFormat="false" ht="30" hidden="false" customHeight="true" outlineLevel="0" collapsed="false">
      <c r="A5" s="59" t="s">
        <v>959</v>
      </c>
      <c r="B5" s="59" t="s">
        <v>1261</v>
      </c>
      <c r="C5" s="59" t="s">
        <v>1262</v>
      </c>
      <c r="D5" s="59" t="s">
        <v>1263</v>
      </c>
      <c r="E5" s="59" t="s">
        <v>1264</v>
      </c>
      <c r="J5" s="59" t="s">
        <v>1265</v>
      </c>
      <c r="K5" s="59" t="s">
        <v>1266</v>
      </c>
      <c r="L5" s="59" t="s">
        <v>1264</v>
      </c>
      <c r="M5" s="59" t="s">
        <v>1267</v>
      </c>
    </row>
    <row r="6" customFormat="false" ht="15" hidden="false" customHeight="true" outlineLevel="0" collapsed="false">
      <c r="A6" s="10" t="s">
        <v>4</v>
      </c>
      <c r="B6" s="124" t="n">
        <v>113</v>
      </c>
      <c r="C6" s="125" t="n">
        <v>25.6</v>
      </c>
      <c r="D6" s="124" t="n">
        <v>169.7</v>
      </c>
      <c r="E6" s="8" t="n">
        <f aca="false">Nota7!C53/Balance!$B$3</f>
        <v>24.0760137</v>
      </c>
      <c r="J6" s="10" t="s">
        <v>5</v>
      </c>
      <c r="K6" s="65" t="n">
        <f aca="false">SUMIFS($D$15:$D$74,$F$15:$F$74,J6,$G$15:$G$74,"venta")</f>
        <v>27.6</v>
      </c>
      <c r="L6" s="126" t="s">
        <v>1268</v>
      </c>
      <c r="M6" s="84"/>
    </row>
    <row r="7" customFormat="false" ht="15" hidden="false" customHeight="true" outlineLevel="0" collapsed="false">
      <c r="A7" s="10" t="s">
        <v>3</v>
      </c>
      <c r="B7" s="124" t="n">
        <v>76.7</v>
      </c>
      <c r="C7" s="125" t="n">
        <v>27.5</v>
      </c>
      <c r="D7" s="124" t="n">
        <v>108</v>
      </c>
      <c r="E7" s="8" t="n">
        <f aca="false">Nota7!B53/Balance!$B$3</f>
        <v>114.23575</v>
      </c>
      <c r="F7" s="17"/>
      <c r="J7" s="10" t="s">
        <v>4</v>
      </c>
      <c r="K7" s="65" t="n">
        <f aca="false">SUMIFS($D$15:$D$74,$F$15:$F$74,J7,$G$15:$G$74,"venta")</f>
        <v>110</v>
      </c>
      <c r="L7" s="8" t="n">
        <f aca="false">Nota7!C53/Balance!$B$3</f>
        <v>24.0760137</v>
      </c>
      <c r="M7" s="65" t="n">
        <f aca="false">K7-L7</f>
        <v>85.9239863</v>
      </c>
    </row>
    <row r="8" customFormat="false" ht="15" hidden="false" customHeight="true" outlineLevel="0" collapsed="false">
      <c r="A8" s="10" t="s">
        <v>965</v>
      </c>
      <c r="B8" s="124" t="n">
        <v>108</v>
      </c>
      <c r="C8" s="125" t="n">
        <v>25</v>
      </c>
      <c r="D8" s="124" t="n">
        <v>145.6</v>
      </c>
      <c r="E8" s="126" t="s">
        <v>1269</v>
      </c>
      <c r="J8" s="10" t="s">
        <v>3</v>
      </c>
      <c r="K8" s="65" t="n">
        <f aca="false">SUMIFS($D$15:$D$74,$F$15:$F$74,J8,$G$15:$G$74,"venta")</f>
        <v>76.7</v>
      </c>
      <c r="L8" s="8" t="n">
        <f aca="false">Nota7!B53/Balance!$B$3</f>
        <v>114.23575</v>
      </c>
      <c r="M8" s="65" t="n">
        <f aca="false">K8-L8</f>
        <v>-37.53575</v>
      </c>
    </row>
    <row r="9" customFormat="false" ht="42" hidden="false" customHeight="true" outlineLevel="0" collapsed="false">
      <c r="A9" s="127" t="s">
        <v>1270</v>
      </c>
      <c r="B9" s="127"/>
      <c r="C9" s="127"/>
      <c r="D9" s="127"/>
      <c r="E9" s="127"/>
      <c r="F9" s="127"/>
      <c r="G9" s="127"/>
      <c r="H9" s="127"/>
      <c r="J9" s="10" t="s">
        <v>965</v>
      </c>
      <c r="K9" s="65" t="n">
        <f aca="false">SUMIFS($D$15:$D$74,$F$15:$F$74,J9,$G$15:$G$74,"venta")</f>
        <v>108</v>
      </c>
      <c r="L9" s="126" t="s">
        <v>1268</v>
      </c>
      <c r="M9" s="84"/>
    </row>
    <row r="10" customFormat="false" ht="15" hidden="false" customHeight="true" outlineLevel="0" collapsed="false">
      <c r="J10" s="3" t="s">
        <v>1271</v>
      </c>
    </row>
    <row r="12" customFormat="false" ht="15" hidden="false" customHeight="true" outlineLevel="0" collapsed="false">
      <c r="J12" s="5" t="s">
        <v>1272</v>
      </c>
      <c r="K12" s="6"/>
      <c r="L12" s="6"/>
      <c r="M12" s="6"/>
    </row>
    <row r="13" customFormat="false" ht="15" hidden="false" customHeight="true" outlineLevel="0" collapsed="false">
      <c r="A13" s="5" t="s">
        <v>1273</v>
      </c>
      <c r="B13" s="6"/>
      <c r="C13" s="6"/>
      <c r="D13" s="6"/>
      <c r="E13" s="6"/>
      <c r="F13" s="6"/>
      <c r="G13" s="6"/>
      <c r="H13" s="6"/>
      <c r="J13" s="4" t="s">
        <v>1274</v>
      </c>
      <c r="K13" s="4" t="s">
        <v>1275</v>
      </c>
      <c r="L13" s="4" t="s">
        <v>1276</v>
      </c>
      <c r="M13" s="4" t="s">
        <v>1277</v>
      </c>
    </row>
    <row r="14" customFormat="false" ht="30" hidden="false" customHeight="true" outlineLevel="0" collapsed="false">
      <c r="A14" s="59" t="s">
        <v>1278</v>
      </c>
      <c r="B14" s="59" t="s">
        <v>1279</v>
      </c>
      <c r="C14" s="59" t="s">
        <v>1280</v>
      </c>
      <c r="D14" s="59" t="s">
        <v>1281</v>
      </c>
      <c r="E14" s="59" t="s">
        <v>1282</v>
      </c>
      <c r="F14" s="59" t="s">
        <v>1283</v>
      </c>
      <c r="G14" s="59" t="s">
        <v>1284</v>
      </c>
      <c r="H14" s="59" t="s">
        <v>486</v>
      </c>
      <c r="J14" s="76" t="s">
        <v>1285</v>
      </c>
      <c r="K14" s="65" t="n">
        <f aca="false">K7</f>
        <v>110</v>
      </c>
      <c r="L14" s="65" t="n">
        <f aca="false">L7</f>
        <v>24.0760137</v>
      </c>
      <c r="M14" s="65" t="n">
        <f aca="false">K14-L14</f>
        <v>85.9239863</v>
      </c>
    </row>
    <row r="15" customFormat="false" ht="15" hidden="false" customHeight="true" outlineLevel="0" collapsed="false">
      <c r="A15" s="128" t="s">
        <v>1286</v>
      </c>
      <c r="B15" s="128" t="s">
        <v>1287</v>
      </c>
      <c r="C15" s="129" t="n">
        <v>44770</v>
      </c>
      <c r="D15" s="130" t="n">
        <v>1.8</v>
      </c>
      <c r="E15" s="128" t="s">
        <v>5</v>
      </c>
      <c r="F15" s="36" t="str">
        <f aca="false">IF(C15="","",IF(MONTH(C15)&gt;=7,RIGHT(YEAR(C15),2)&amp;"/"&amp;RIGHT(YEAR(C15)+1,2),RIGHT(YEAR(C15)-1,2)&amp;"/"&amp;RIGHT(YEAR(C15),2)))</f>
        <v>22/23</v>
      </c>
      <c r="G15" s="128" t="s">
        <v>1288</v>
      </c>
      <c r="H15" s="3"/>
      <c r="J15" s="76" t="s">
        <v>1289</v>
      </c>
      <c r="K15" s="65" t="n">
        <f aca="false">K7-37-14.4-2.5-33</f>
        <v>23.1</v>
      </c>
      <c r="L15" s="65" t="n">
        <f aca="false">L7</f>
        <v>24.0760137</v>
      </c>
      <c r="M15" s="65" t="n">
        <f aca="false">K15-L15</f>
        <v>-0.976013699999999</v>
      </c>
    </row>
    <row r="16" customFormat="false" ht="15" hidden="false" customHeight="true" outlineLevel="0" collapsed="false">
      <c r="A16" s="128" t="s">
        <v>1290</v>
      </c>
      <c r="B16" s="128" t="s">
        <v>1291</v>
      </c>
      <c r="C16" s="129" t="n">
        <v>44789</v>
      </c>
      <c r="D16" s="130" t="n">
        <v>17.8</v>
      </c>
      <c r="E16" s="128" t="s">
        <v>5</v>
      </c>
      <c r="F16" s="36" t="str">
        <f aca="false">IF(C16="","",IF(MONTH(C16)&gt;=7,RIGHT(YEAR(C16),2)&amp;"/"&amp;RIGHT(YEAR(C16)+1,2),RIGHT(YEAR(C16)-1,2)&amp;"/"&amp;RIGHT(YEAR(C16),2)))</f>
        <v>22/23</v>
      </c>
      <c r="G16" s="128" t="s">
        <v>1288</v>
      </c>
      <c r="H16" s="3"/>
      <c r="J16" s="76" t="s">
        <v>1292</v>
      </c>
      <c r="K16" s="65" t="n">
        <f aca="false">K8</f>
        <v>76.7</v>
      </c>
      <c r="L16" s="65" t="n">
        <f aca="false">L8</f>
        <v>114.23575</v>
      </c>
      <c r="M16" s="65" t="n">
        <f aca="false">K16-L16</f>
        <v>-37.53575</v>
      </c>
    </row>
    <row r="17" customFormat="false" ht="15" hidden="false" customHeight="true" outlineLevel="0" collapsed="false">
      <c r="A17" s="128" t="s">
        <v>1293</v>
      </c>
      <c r="B17" s="128" t="s">
        <v>1294</v>
      </c>
      <c r="C17" s="129" t="n">
        <v>44791</v>
      </c>
      <c r="D17" s="130" t="n">
        <v>1</v>
      </c>
      <c r="E17" s="128" t="s">
        <v>5</v>
      </c>
      <c r="F17" s="36" t="str">
        <f aca="false">IF(C17="","",IF(MONTH(C17)&gt;=7,RIGHT(YEAR(C17),2)&amp;"/"&amp;RIGHT(YEAR(C17)+1,2),RIGHT(YEAR(C17)-1,2)&amp;"/"&amp;RIGHT(YEAR(C17),2)))</f>
        <v>22/23</v>
      </c>
      <c r="G17" s="128" t="s">
        <v>1295</v>
      </c>
      <c r="H17" s="3" t="s">
        <v>1296</v>
      </c>
      <c r="J17" s="76" t="s">
        <v>1297</v>
      </c>
      <c r="K17" s="65" t="n">
        <f aca="false">K8+42</f>
        <v>118.7</v>
      </c>
      <c r="L17" s="65" t="n">
        <f aca="false">L8</f>
        <v>114.23575</v>
      </c>
      <c r="M17" s="65" t="n">
        <f aca="false">K17-L17</f>
        <v>4.46425000000001</v>
      </c>
    </row>
    <row r="18" customFormat="false" ht="15" hidden="false" customHeight="true" outlineLevel="0" collapsed="false">
      <c r="A18" s="128" t="s">
        <v>1298</v>
      </c>
      <c r="B18" s="128" t="s">
        <v>1299</v>
      </c>
      <c r="C18" s="129" t="n">
        <v>44932</v>
      </c>
      <c r="D18" s="130" t="n">
        <v>8</v>
      </c>
      <c r="E18" s="128" t="s">
        <v>5</v>
      </c>
      <c r="F18" s="36" t="str">
        <f aca="false">IF(C18="","",IF(MONTH(C18)&gt;=7,RIGHT(YEAR(C18),2)&amp;"/"&amp;RIGHT(YEAR(C18)+1,2),RIGHT(YEAR(C18)-1,2)&amp;"/"&amp;RIGHT(YEAR(C18),2)))</f>
        <v>22/23</v>
      </c>
      <c r="G18" s="128" t="s">
        <v>1288</v>
      </c>
      <c r="H18" s="3"/>
      <c r="J18" s="76" t="s">
        <v>1300</v>
      </c>
      <c r="K18" s="65" t="n">
        <f aca="false">K8+30+2.5</f>
        <v>109.2</v>
      </c>
      <c r="L18" s="65" t="n">
        <f aca="false">L8</f>
        <v>114.23575</v>
      </c>
      <c r="M18" s="65" t="n">
        <f aca="false">K18-L18</f>
        <v>-5.03574999999999</v>
      </c>
    </row>
    <row r="19" customFormat="false" ht="15" hidden="false" customHeight="true" outlineLevel="0" collapsed="false">
      <c r="A19" s="128" t="s">
        <v>1301</v>
      </c>
      <c r="B19" s="128" t="s">
        <v>1302</v>
      </c>
      <c r="C19" s="129" t="n">
        <v>44951</v>
      </c>
      <c r="D19" s="130" t="n">
        <v>3</v>
      </c>
      <c r="E19" s="128" t="s">
        <v>5</v>
      </c>
      <c r="F19" s="36" t="str">
        <f aca="false">IF(C19="","",IF(MONTH(C19)&gt;=7,RIGHT(YEAR(C19),2)&amp;"/"&amp;RIGHT(YEAR(C19)+1,2),RIGHT(YEAR(C19)-1,2)&amp;"/"&amp;RIGHT(YEAR(C19),2)))</f>
        <v>22/23</v>
      </c>
      <c r="G19" s="128" t="s">
        <v>1295</v>
      </c>
      <c r="H19" s="3" t="s">
        <v>1303</v>
      </c>
    </row>
    <row r="20" customFormat="false" ht="15" hidden="false" customHeight="true" outlineLevel="0" collapsed="false">
      <c r="A20" s="128" t="s">
        <v>1304</v>
      </c>
      <c r="B20" s="128" t="s">
        <v>1305</v>
      </c>
      <c r="C20" s="129" t="n">
        <v>45108</v>
      </c>
      <c r="D20" s="130" t="n">
        <v>37</v>
      </c>
      <c r="E20" s="128" t="s">
        <v>4</v>
      </c>
      <c r="F20" s="36" t="str">
        <f aca="false">IF(C20="","",IF(MONTH(C20)&gt;=7,RIGHT(YEAR(C20),2)&amp;"/"&amp;RIGHT(YEAR(C20)+1,2),RIGHT(YEAR(C20)-1,2)&amp;"/"&amp;RIGHT(YEAR(C20),2)))</f>
        <v>23/24</v>
      </c>
      <c r="G20" s="128" t="s">
        <v>1288</v>
      </c>
      <c r="H20" s="3" t="s">
        <v>1306</v>
      </c>
      <c r="J20" s="31" t="s">
        <v>1307</v>
      </c>
      <c r="K20" s="31"/>
      <c r="L20" s="31"/>
      <c r="M20" s="31"/>
    </row>
    <row r="21" customFormat="false" ht="15" hidden="false" customHeight="true" outlineLevel="0" collapsed="false">
      <c r="A21" s="128" t="s">
        <v>1293</v>
      </c>
      <c r="B21" s="128" t="s">
        <v>1294</v>
      </c>
      <c r="C21" s="129" t="n">
        <v>45108</v>
      </c>
      <c r="D21" s="130" t="n">
        <v>14.4</v>
      </c>
      <c r="E21" s="128" t="s">
        <v>4</v>
      </c>
      <c r="F21" s="36" t="str">
        <f aca="false">IF(C21="","",IF(MONTH(C21)&gt;=7,RIGHT(YEAR(C21),2)&amp;"/"&amp;RIGHT(YEAR(C21)+1,2),RIGHT(YEAR(C21)-1,2)&amp;"/"&amp;RIGHT(YEAR(C21),2)))</f>
        <v>23/24</v>
      </c>
      <c r="G21" s="128" t="s">
        <v>1288</v>
      </c>
      <c r="H21" s="3" t="s">
        <v>1308</v>
      </c>
      <c r="J21" s="31"/>
      <c r="K21" s="31"/>
      <c r="L21" s="31"/>
      <c r="M21" s="31"/>
    </row>
    <row r="22" customFormat="false" ht="15" hidden="false" customHeight="true" outlineLevel="0" collapsed="false">
      <c r="A22" s="128" t="s">
        <v>1309</v>
      </c>
      <c r="B22" s="128" t="s">
        <v>1310</v>
      </c>
      <c r="C22" s="129" t="n">
        <v>45108</v>
      </c>
      <c r="D22" s="130" t="n">
        <v>2.5</v>
      </c>
      <c r="E22" s="128" t="s">
        <v>4</v>
      </c>
      <c r="F22" s="36" t="str">
        <f aca="false">IF(C22="","",IF(MONTH(C22)&gt;=7,RIGHT(YEAR(C22),2)&amp;"/"&amp;RIGHT(YEAR(C22)+1,2),RIGHT(YEAR(C22)-1,2)&amp;"/"&amp;RIGHT(YEAR(C22),2)))</f>
        <v>23/24</v>
      </c>
      <c r="G22" s="128" t="s">
        <v>1288</v>
      </c>
      <c r="H22" s="3" t="s">
        <v>1308</v>
      </c>
      <c r="J22" s="31"/>
      <c r="K22" s="31"/>
      <c r="L22" s="31"/>
      <c r="M22" s="31"/>
    </row>
    <row r="23" customFormat="false" ht="15" hidden="false" customHeight="true" outlineLevel="0" collapsed="false">
      <c r="A23" s="128" t="s">
        <v>1311</v>
      </c>
      <c r="B23" s="128" t="s">
        <v>1312</v>
      </c>
      <c r="C23" s="129" t="n">
        <v>45119</v>
      </c>
      <c r="D23" s="130" t="n">
        <v>33</v>
      </c>
      <c r="E23" s="128" t="s">
        <v>4</v>
      </c>
      <c r="F23" s="36" t="str">
        <f aca="false">IF(C23="","",IF(MONTH(C23)&gt;=7,RIGHT(YEAR(C23),2)&amp;"/"&amp;RIGHT(YEAR(C23)+1,2),RIGHT(YEAR(C23)-1,2)&amp;"/"&amp;RIGHT(YEAR(C23),2)))</f>
        <v>23/24</v>
      </c>
      <c r="G23" s="128" t="s">
        <v>1288</v>
      </c>
      <c r="H23" s="3" t="s">
        <v>1313</v>
      </c>
      <c r="J23" s="31"/>
      <c r="K23" s="31"/>
      <c r="L23" s="31"/>
      <c r="M23" s="31"/>
    </row>
    <row r="24" customFormat="false" ht="15" hidden="false" customHeight="true" outlineLevel="0" collapsed="false">
      <c r="A24" s="128" t="s">
        <v>1314</v>
      </c>
      <c r="B24" s="128" t="s">
        <v>1315</v>
      </c>
      <c r="C24" s="129" t="n">
        <v>45129</v>
      </c>
      <c r="D24" s="130" t="n">
        <v>2</v>
      </c>
      <c r="E24" s="128" t="s">
        <v>4</v>
      </c>
      <c r="F24" s="36" t="str">
        <f aca="false">IF(C24="","",IF(MONTH(C24)&gt;=7,RIGHT(YEAR(C24),2)&amp;"/"&amp;RIGHT(YEAR(C24)+1,2),RIGHT(YEAR(C24)-1,2)&amp;"/"&amp;RIGHT(YEAR(C24),2)))</f>
        <v>23/24</v>
      </c>
      <c r="G24" s="128" t="s">
        <v>1288</v>
      </c>
      <c r="H24" s="3"/>
    </row>
    <row r="25" customFormat="false" ht="15" hidden="false" customHeight="true" outlineLevel="0" collapsed="false">
      <c r="A25" s="128" t="s">
        <v>1301</v>
      </c>
      <c r="B25" s="128" t="s">
        <v>1316</v>
      </c>
      <c r="C25" s="129" t="n">
        <v>45130</v>
      </c>
      <c r="D25" s="130" t="n">
        <v>3</v>
      </c>
      <c r="E25" s="128" t="s">
        <v>4</v>
      </c>
      <c r="F25" s="36" t="str">
        <f aca="false">IF(C25="","",IF(MONTH(C25)&gt;=7,RIGHT(YEAR(C25),2)&amp;"/"&amp;RIGHT(YEAR(C25)+1,2),RIGHT(YEAR(C25)-1,2)&amp;"/"&amp;RIGHT(YEAR(C25),2)))</f>
        <v>23/24</v>
      </c>
      <c r="G25" s="128" t="s">
        <v>1295</v>
      </c>
      <c r="H25" s="3" t="s">
        <v>1303</v>
      </c>
    </row>
    <row r="26" customFormat="false" ht="15" hidden="false" customHeight="true" outlineLevel="0" collapsed="false">
      <c r="A26" s="128" t="s">
        <v>1317</v>
      </c>
      <c r="B26" s="128" t="s">
        <v>1318</v>
      </c>
      <c r="C26" s="129" t="n">
        <v>45134</v>
      </c>
      <c r="D26" s="130" t="n">
        <v>21.1</v>
      </c>
      <c r="E26" s="128" t="s">
        <v>4</v>
      </c>
      <c r="F26" s="36" t="str">
        <f aca="false">IF(C26="","",IF(MONTH(C26)&gt;=7,RIGHT(YEAR(C26),2)&amp;"/"&amp;RIGHT(YEAR(C26)+1,2),RIGHT(YEAR(C26)-1,2)&amp;"/"&amp;RIGHT(YEAR(C26),2)))</f>
        <v>23/24</v>
      </c>
      <c r="G26" s="128" t="s">
        <v>1288</v>
      </c>
      <c r="H26" s="3" t="s">
        <v>1319</v>
      </c>
    </row>
    <row r="27" customFormat="false" ht="15" hidden="false" customHeight="true" outlineLevel="0" collapsed="false">
      <c r="A27" s="128" t="s">
        <v>1320</v>
      </c>
      <c r="B27" s="128" t="s">
        <v>1310</v>
      </c>
      <c r="C27" s="129" t="n">
        <v>45496</v>
      </c>
      <c r="D27" s="130" t="n">
        <v>1.5</v>
      </c>
      <c r="E27" s="128" t="s">
        <v>3</v>
      </c>
      <c r="F27" s="36" t="str">
        <f aca="false">IF(C27="","",IF(MONTH(C27)&gt;=7,RIGHT(YEAR(C27),2)&amp;"/"&amp;RIGHT(YEAR(C27)+1,2),RIGHT(YEAR(C27)-1,2)&amp;"/"&amp;RIGHT(YEAR(C27),2)))</f>
        <v>24/25</v>
      </c>
      <c r="G27" s="128" t="s">
        <v>1288</v>
      </c>
      <c r="H27" s="3"/>
    </row>
    <row r="28" customFormat="false" ht="15" hidden="false" customHeight="true" outlineLevel="0" collapsed="false">
      <c r="A28" s="128" t="s">
        <v>1321</v>
      </c>
      <c r="B28" s="128" t="s">
        <v>1305</v>
      </c>
      <c r="C28" s="129" t="n">
        <v>45503</v>
      </c>
      <c r="D28" s="130" t="n">
        <v>24.5</v>
      </c>
      <c r="E28" s="128" t="s">
        <v>3</v>
      </c>
      <c r="F28" s="36" t="str">
        <f aca="false">IF(C28="","",IF(MONTH(C28)&gt;=7,RIGHT(YEAR(C28),2)&amp;"/"&amp;RIGHT(YEAR(C28)+1,2),RIGHT(YEAR(C28)-1,2)&amp;"/"&amp;RIGHT(YEAR(C28),2)))</f>
        <v>24/25</v>
      </c>
      <c r="G28" s="128" t="s">
        <v>1288</v>
      </c>
      <c r="H28" s="3"/>
    </row>
    <row r="29" customFormat="false" ht="15" hidden="false" customHeight="true" outlineLevel="0" collapsed="false">
      <c r="A29" s="128" t="s">
        <v>1322</v>
      </c>
      <c r="B29" s="128" t="s">
        <v>1323</v>
      </c>
      <c r="C29" s="129" t="n">
        <v>45503</v>
      </c>
      <c r="D29" s="130" t="n">
        <v>8.3</v>
      </c>
      <c r="E29" s="128" t="s">
        <v>3</v>
      </c>
      <c r="F29" s="36" t="str">
        <f aca="false">IF(C29="","",IF(MONTH(C29)&gt;=7,RIGHT(YEAR(C29),2)&amp;"/"&amp;RIGHT(YEAR(C29)+1,2),RIGHT(YEAR(C29)-1,2)&amp;"/"&amp;RIGHT(YEAR(C29),2)))</f>
        <v>24/25</v>
      </c>
      <c r="G29" s="128" t="s">
        <v>1288</v>
      </c>
      <c r="H29" s="3"/>
    </row>
    <row r="30" customFormat="false" ht="15" hidden="false" customHeight="true" outlineLevel="0" collapsed="false">
      <c r="A30" s="128" t="s">
        <v>1324</v>
      </c>
      <c r="B30" s="128" t="s">
        <v>1325</v>
      </c>
      <c r="C30" s="129" t="n">
        <v>45507</v>
      </c>
      <c r="D30" s="130" t="n">
        <v>32</v>
      </c>
      <c r="E30" s="128" t="s">
        <v>3</v>
      </c>
      <c r="F30" s="36" t="str">
        <f aca="false">IF(C30="","",IF(MONTH(C30)&gt;=7,RIGHT(YEAR(C30),2)&amp;"/"&amp;RIGHT(YEAR(C30)+1,2),RIGHT(YEAR(C30)-1,2)&amp;"/"&amp;RIGHT(YEAR(C30),2)))</f>
        <v>24/25</v>
      </c>
      <c r="G30" s="128" t="s">
        <v>1288</v>
      </c>
      <c r="H30" s="3"/>
    </row>
    <row r="31" customFormat="false" ht="15" hidden="false" customHeight="true" outlineLevel="0" collapsed="false">
      <c r="A31" s="128" t="s">
        <v>1326</v>
      </c>
      <c r="B31" s="128" t="s">
        <v>1327</v>
      </c>
      <c r="C31" s="129" t="n">
        <v>45507</v>
      </c>
      <c r="D31" s="130" t="n">
        <v>6.7</v>
      </c>
      <c r="E31" s="128" t="s">
        <v>3</v>
      </c>
      <c r="F31" s="36" t="str">
        <f aca="false">IF(C31="","",IF(MONTH(C31)&gt;=7,RIGHT(YEAR(C31),2)&amp;"/"&amp;RIGHT(YEAR(C31)+1,2),RIGHT(YEAR(C31)-1,2)&amp;"/"&amp;RIGHT(YEAR(C31),2)))</f>
        <v>24/25</v>
      </c>
      <c r="G31" s="128" t="s">
        <v>1288</v>
      </c>
      <c r="H31" s="3"/>
    </row>
    <row r="32" customFormat="false" ht="15" hidden="false" customHeight="true" outlineLevel="0" collapsed="false">
      <c r="A32" s="128" t="s">
        <v>1328</v>
      </c>
      <c r="B32" s="128" t="s">
        <v>1329</v>
      </c>
      <c r="C32" s="129" t="n">
        <v>45515</v>
      </c>
      <c r="D32" s="130" t="n">
        <v>3.7</v>
      </c>
      <c r="E32" s="128" t="s">
        <v>3</v>
      </c>
      <c r="F32" s="36" t="str">
        <f aca="false">IF(C32="","",IF(MONTH(C32)&gt;=7,RIGHT(YEAR(C32),2)&amp;"/"&amp;RIGHT(YEAR(C32)+1,2),RIGHT(YEAR(C32)-1,2)&amp;"/"&amp;RIGHT(YEAR(C32),2)))</f>
        <v>24/25</v>
      </c>
      <c r="G32" s="128" t="s">
        <v>1288</v>
      </c>
      <c r="H32" s="3"/>
    </row>
    <row r="33" customFormat="false" ht="15" hidden="false" customHeight="true" outlineLevel="0" collapsed="false">
      <c r="A33" s="128" t="s">
        <v>1330</v>
      </c>
      <c r="B33" s="128" t="s">
        <v>1331</v>
      </c>
      <c r="C33" s="129" t="n">
        <v>45839</v>
      </c>
      <c r="D33" s="130" t="n">
        <v>2.5</v>
      </c>
      <c r="E33" s="128" t="s">
        <v>965</v>
      </c>
      <c r="F33" s="36" t="str">
        <f aca="false">IF(C33="","",IF(MONTH(C33)&gt;=7,RIGHT(YEAR(C33),2)&amp;"/"&amp;RIGHT(YEAR(C33)+1,2),RIGHT(YEAR(C33)-1,2)&amp;"/"&amp;RIGHT(YEAR(C33),2)))</f>
        <v>25/26</v>
      </c>
      <c r="G33" s="128" t="s">
        <v>1288</v>
      </c>
      <c r="H33" s="3" t="s">
        <v>1332</v>
      </c>
    </row>
    <row r="34" customFormat="false" ht="15" hidden="false" customHeight="true" outlineLevel="0" collapsed="false">
      <c r="A34" s="128" t="s">
        <v>1333</v>
      </c>
      <c r="B34" s="128" t="s">
        <v>1325</v>
      </c>
      <c r="C34" s="129" t="n">
        <v>45840</v>
      </c>
      <c r="D34" s="130" t="n">
        <v>42</v>
      </c>
      <c r="E34" s="128" t="s">
        <v>965</v>
      </c>
      <c r="F34" s="36" t="str">
        <f aca="false">IF(C34="","",IF(MONTH(C34)&gt;=7,RIGHT(YEAR(C34),2)&amp;"/"&amp;RIGHT(YEAR(C34)+1,2),RIGHT(YEAR(C34)-1,2)&amp;"/"&amp;RIGHT(YEAR(C34),2)))</f>
        <v>25/26</v>
      </c>
      <c r="G34" s="128" t="s">
        <v>1288</v>
      </c>
      <c r="H34" s="3" t="s">
        <v>1334</v>
      </c>
    </row>
    <row r="35" customFormat="false" ht="15" hidden="false" customHeight="true" outlineLevel="0" collapsed="false">
      <c r="A35" s="128" t="s">
        <v>1335</v>
      </c>
      <c r="B35" s="128" t="s">
        <v>1316</v>
      </c>
      <c r="C35" s="129" t="n">
        <v>45847</v>
      </c>
      <c r="D35" s="130" t="n">
        <v>30</v>
      </c>
      <c r="E35" s="128" t="s">
        <v>965</v>
      </c>
      <c r="F35" s="36" t="str">
        <f aca="false">IF(C35="","",IF(MONTH(C35)&gt;=7,RIGHT(YEAR(C35),2)&amp;"/"&amp;RIGHT(YEAR(C35)+1,2),RIGHT(YEAR(C35)-1,2)&amp;"/"&amp;RIGHT(YEAR(C35),2)))</f>
        <v>25/26</v>
      </c>
      <c r="G35" s="128" t="s">
        <v>1288</v>
      </c>
      <c r="H35" s="3" t="s">
        <v>1336</v>
      </c>
    </row>
    <row r="36" customFormat="false" ht="15" hidden="false" customHeight="true" outlineLevel="0" collapsed="false">
      <c r="A36" s="128" t="s">
        <v>1337</v>
      </c>
      <c r="B36" s="128" t="s">
        <v>1338</v>
      </c>
      <c r="C36" s="129" t="n">
        <v>45868</v>
      </c>
      <c r="D36" s="130" t="n">
        <v>0.5</v>
      </c>
      <c r="E36" s="128" t="s">
        <v>965</v>
      </c>
      <c r="F36" s="36" t="str">
        <f aca="false">IF(C36="","",IF(MONTH(C36)&gt;=7,RIGHT(YEAR(C36),2)&amp;"/"&amp;RIGHT(YEAR(C36)+1,2),RIGHT(YEAR(C36)-1,2)&amp;"/"&amp;RIGHT(YEAR(C36),2)))</f>
        <v>25/26</v>
      </c>
      <c r="G36" s="128" t="s">
        <v>1288</v>
      </c>
      <c r="H36" s="3"/>
    </row>
    <row r="37" customFormat="false" ht="15" hidden="false" customHeight="true" outlineLevel="0" collapsed="false">
      <c r="A37" s="128" t="s">
        <v>1339</v>
      </c>
      <c r="B37" s="128" t="s">
        <v>1340</v>
      </c>
      <c r="C37" s="129" t="n">
        <v>45898</v>
      </c>
      <c r="D37" s="130" t="n">
        <v>30</v>
      </c>
      <c r="E37" s="128" t="s">
        <v>965</v>
      </c>
      <c r="F37" s="36" t="str">
        <f aca="false">IF(C37="","",IF(MONTH(C37)&gt;=7,RIGHT(YEAR(C37),2)&amp;"/"&amp;RIGHT(YEAR(C37)+1,2),RIGHT(YEAR(C37)-1,2)&amp;"/"&amp;RIGHT(YEAR(C37),2)))</f>
        <v>25/26</v>
      </c>
      <c r="G37" s="128" t="s">
        <v>1288</v>
      </c>
      <c r="H37" s="3"/>
    </row>
    <row r="38" customFormat="false" ht="15" hidden="false" customHeight="true" outlineLevel="0" collapsed="false">
      <c r="A38" s="128" t="s">
        <v>1341</v>
      </c>
      <c r="B38" s="128" t="s">
        <v>1342</v>
      </c>
      <c r="C38" s="129" t="n">
        <v>45901</v>
      </c>
      <c r="D38" s="130" t="n">
        <v>3</v>
      </c>
      <c r="E38" s="128" t="s">
        <v>965</v>
      </c>
      <c r="F38" s="36" t="str">
        <f aca="false">IF(C38="","",IF(MONTH(C38)&gt;=7,RIGHT(YEAR(C38),2)&amp;"/"&amp;RIGHT(YEAR(C38)+1,2),RIGHT(YEAR(C38)-1,2)&amp;"/"&amp;RIGHT(YEAR(C38),2)))</f>
        <v>25/26</v>
      </c>
      <c r="G38" s="128" t="s">
        <v>1288</v>
      </c>
      <c r="H38" s="3"/>
    </row>
    <row r="39" customFormat="false" ht="15" hidden="false" customHeight="true" outlineLevel="0" collapsed="false">
      <c r="A39" s="128"/>
      <c r="B39" s="128"/>
      <c r="C39" s="129"/>
      <c r="D39" s="130"/>
      <c r="E39" s="128"/>
      <c r="F39" s="36" t="str">
        <f aca="false">IF(C39="","",IF(MONTH(C39)&gt;=7,RIGHT(YEAR(C39),2)&amp;"/"&amp;RIGHT(YEAR(C39)+1,2),RIGHT(YEAR(C39)-1,2)&amp;"/"&amp;RIGHT(YEAR(C39),2)))</f>
        <v/>
      </c>
      <c r="G39" s="128"/>
    </row>
    <row r="40" customFormat="false" ht="15" hidden="false" customHeight="true" outlineLevel="0" collapsed="false">
      <c r="A40" s="128"/>
      <c r="B40" s="128"/>
      <c r="C40" s="129"/>
      <c r="D40" s="130"/>
      <c r="E40" s="128"/>
      <c r="F40" s="36" t="str">
        <f aca="false">IF(C40="","",IF(MONTH(C40)&gt;=7,RIGHT(YEAR(C40),2)&amp;"/"&amp;RIGHT(YEAR(C40)+1,2),RIGHT(YEAR(C40)-1,2)&amp;"/"&amp;RIGHT(YEAR(C40),2)))</f>
        <v/>
      </c>
      <c r="G40" s="128"/>
    </row>
    <row r="41" customFormat="false" ht="15" hidden="false" customHeight="true" outlineLevel="0" collapsed="false">
      <c r="A41" s="128"/>
      <c r="B41" s="128"/>
      <c r="C41" s="129"/>
      <c r="D41" s="130"/>
      <c r="E41" s="128"/>
      <c r="F41" s="36" t="str">
        <f aca="false">IF(C41="","",IF(MONTH(C41)&gt;=7,RIGHT(YEAR(C41),2)&amp;"/"&amp;RIGHT(YEAR(C41)+1,2),RIGHT(YEAR(C41)-1,2)&amp;"/"&amp;RIGHT(YEAR(C41),2)))</f>
        <v/>
      </c>
      <c r="G41" s="128"/>
    </row>
    <row r="42" customFormat="false" ht="15" hidden="false" customHeight="true" outlineLevel="0" collapsed="false">
      <c r="A42" s="128"/>
      <c r="B42" s="128"/>
      <c r="C42" s="129"/>
      <c r="D42" s="130"/>
      <c r="E42" s="128"/>
      <c r="F42" s="36" t="str">
        <f aca="false">IF(C42="","",IF(MONTH(C42)&gt;=7,RIGHT(YEAR(C42),2)&amp;"/"&amp;RIGHT(YEAR(C42)+1,2),RIGHT(YEAR(C42)-1,2)&amp;"/"&amp;RIGHT(YEAR(C42),2)))</f>
        <v/>
      </c>
      <c r="G42" s="128"/>
    </row>
    <row r="43" customFormat="false" ht="15" hidden="false" customHeight="true" outlineLevel="0" collapsed="false">
      <c r="A43" s="128"/>
      <c r="B43" s="128"/>
      <c r="C43" s="129"/>
      <c r="D43" s="130"/>
      <c r="E43" s="128"/>
      <c r="F43" s="36" t="str">
        <f aca="false">IF(C43="","",IF(MONTH(C43)&gt;=7,RIGHT(YEAR(C43),2)&amp;"/"&amp;RIGHT(YEAR(C43)+1,2),RIGHT(YEAR(C43)-1,2)&amp;"/"&amp;RIGHT(YEAR(C43),2)))</f>
        <v/>
      </c>
      <c r="G43" s="128"/>
    </row>
    <row r="44" customFormat="false" ht="15" hidden="false" customHeight="true" outlineLevel="0" collapsed="false">
      <c r="A44" s="128"/>
      <c r="B44" s="128"/>
      <c r="C44" s="129"/>
      <c r="D44" s="130"/>
      <c r="E44" s="128"/>
      <c r="F44" s="36" t="str">
        <f aca="false">IF(C44="","",IF(MONTH(C44)&gt;=7,RIGHT(YEAR(C44),2)&amp;"/"&amp;RIGHT(YEAR(C44)+1,2),RIGHT(YEAR(C44)-1,2)&amp;"/"&amp;RIGHT(YEAR(C44),2)))</f>
        <v/>
      </c>
      <c r="G44" s="128"/>
    </row>
    <row r="45" customFormat="false" ht="15" hidden="false" customHeight="true" outlineLevel="0" collapsed="false">
      <c r="A45" s="128"/>
      <c r="B45" s="128"/>
      <c r="C45" s="129"/>
      <c r="D45" s="130"/>
      <c r="E45" s="128"/>
      <c r="F45" s="36" t="str">
        <f aca="false">IF(C45="","",IF(MONTH(C45)&gt;=7,RIGHT(YEAR(C45),2)&amp;"/"&amp;RIGHT(YEAR(C45)+1,2),RIGHT(YEAR(C45)-1,2)&amp;"/"&amp;RIGHT(YEAR(C45),2)))</f>
        <v/>
      </c>
      <c r="G45" s="128"/>
    </row>
    <row r="46" customFormat="false" ht="15" hidden="false" customHeight="true" outlineLevel="0" collapsed="false">
      <c r="A46" s="128"/>
      <c r="B46" s="128"/>
      <c r="C46" s="129"/>
      <c r="D46" s="130"/>
      <c r="E46" s="128"/>
      <c r="F46" s="36" t="str">
        <f aca="false">IF(C46="","",IF(MONTH(C46)&gt;=7,RIGHT(YEAR(C46),2)&amp;"/"&amp;RIGHT(YEAR(C46)+1,2),RIGHT(YEAR(C46)-1,2)&amp;"/"&amp;RIGHT(YEAR(C46),2)))</f>
        <v/>
      </c>
      <c r="G46" s="128"/>
    </row>
    <row r="47" customFormat="false" ht="15" hidden="false" customHeight="true" outlineLevel="0" collapsed="false">
      <c r="A47" s="128"/>
      <c r="B47" s="128"/>
      <c r="C47" s="129"/>
      <c r="D47" s="130"/>
      <c r="E47" s="128"/>
      <c r="F47" s="36" t="str">
        <f aca="false">IF(C47="","",IF(MONTH(C47)&gt;=7,RIGHT(YEAR(C47),2)&amp;"/"&amp;RIGHT(YEAR(C47)+1,2),RIGHT(YEAR(C47)-1,2)&amp;"/"&amp;RIGHT(YEAR(C47),2)))</f>
        <v/>
      </c>
      <c r="G47" s="128"/>
    </row>
    <row r="48" customFormat="false" ht="15" hidden="false" customHeight="true" outlineLevel="0" collapsed="false">
      <c r="A48" s="128"/>
      <c r="B48" s="128"/>
      <c r="C48" s="129"/>
      <c r="D48" s="130"/>
      <c r="E48" s="128"/>
      <c r="F48" s="36" t="str">
        <f aca="false">IF(C48="","",IF(MONTH(C48)&gt;=7,RIGHT(YEAR(C48),2)&amp;"/"&amp;RIGHT(YEAR(C48)+1,2),RIGHT(YEAR(C48)-1,2)&amp;"/"&amp;RIGHT(YEAR(C48),2)))</f>
        <v/>
      </c>
      <c r="G48" s="128"/>
    </row>
    <row r="49" customFormat="false" ht="15" hidden="false" customHeight="true" outlineLevel="0" collapsed="false">
      <c r="A49" s="128"/>
      <c r="B49" s="128"/>
      <c r="C49" s="129"/>
      <c r="D49" s="130"/>
      <c r="E49" s="128"/>
      <c r="F49" s="36" t="str">
        <f aca="false">IF(C49="","",IF(MONTH(C49)&gt;=7,RIGHT(YEAR(C49),2)&amp;"/"&amp;RIGHT(YEAR(C49)+1,2),RIGHT(YEAR(C49)-1,2)&amp;"/"&amp;RIGHT(YEAR(C49),2)))</f>
        <v/>
      </c>
      <c r="G49" s="128"/>
    </row>
    <row r="50" customFormat="false" ht="15" hidden="false" customHeight="true" outlineLevel="0" collapsed="false">
      <c r="A50" s="128"/>
      <c r="B50" s="128"/>
      <c r="C50" s="129"/>
      <c r="D50" s="130"/>
      <c r="E50" s="128"/>
      <c r="F50" s="36" t="str">
        <f aca="false">IF(C50="","",IF(MONTH(C50)&gt;=7,RIGHT(YEAR(C50),2)&amp;"/"&amp;RIGHT(YEAR(C50)+1,2),RIGHT(YEAR(C50)-1,2)&amp;"/"&amp;RIGHT(YEAR(C50),2)))</f>
        <v/>
      </c>
      <c r="G50" s="128"/>
    </row>
    <row r="51" customFormat="false" ht="15" hidden="false" customHeight="true" outlineLevel="0" collapsed="false">
      <c r="A51" s="128"/>
      <c r="B51" s="128"/>
      <c r="C51" s="129"/>
      <c r="D51" s="130"/>
      <c r="E51" s="128"/>
      <c r="F51" s="36" t="str">
        <f aca="false">IF(C51="","",IF(MONTH(C51)&gt;=7,RIGHT(YEAR(C51),2)&amp;"/"&amp;RIGHT(YEAR(C51)+1,2),RIGHT(YEAR(C51)-1,2)&amp;"/"&amp;RIGHT(YEAR(C51),2)))</f>
        <v/>
      </c>
      <c r="G51" s="128"/>
    </row>
    <row r="52" customFormat="false" ht="15" hidden="false" customHeight="true" outlineLevel="0" collapsed="false">
      <c r="A52" s="128"/>
      <c r="B52" s="128"/>
      <c r="C52" s="129"/>
      <c r="D52" s="130"/>
      <c r="E52" s="128"/>
      <c r="F52" s="36" t="str">
        <f aca="false">IF(C52="","",IF(MONTH(C52)&gt;=7,RIGHT(YEAR(C52),2)&amp;"/"&amp;RIGHT(YEAR(C52)+1,2),RIGHT(YEAR(C52)-1,2)&amp;"/"&amp;RIGHT(YEAR(C52),2)))</f>
        <v/>
      </c>
      <c r="G52" s="128"/>
    </row>
    <row r="53" customFormat="false" ht="15" hidden="false" customHeight="true" outlineLevel="0" collapsed="false">
      <c r="A53" s="128"/>
      <c r="B53" s="128"/>
      <c r="C53" s="129"/>
      <c r="D53" s="130"/>
      <c r="E53" s="128"/>
      <c r="F53" s="36" t="str">
        <f aca="false">IF(C53="","",IF(MONTH(C53)&gt;=7,RIGHT(YEAR(C53),2)&amp;"/"&amp;RIGHT(YEAR(C53)+1,2),RIGHT(YEAR(C53)-1,2)&amp;"/"&amp;RIGHT(YEAR(C53),2)))</f>
        <v/>
      </c>
      <c r="G53" s="128"/>
    </row>
    <row r="54" customFormat="false" ht="15" hidden="false" customHeight="true" outlineLevel="0" collapsed="false">
      <c r="A54" s="128"/>
      <c r="B54" s="128"/>
      <c r="C54" s="129"/>
      <c r="D54" s="130"/>
      <c r="E54" s="128"/>
      <c r="F54" s="36" t="str">
        <f aca="false">IF(C54="","",IF(MONTH(C54)&gt;=7,RIGHT(YEAR(C54),2)&amp;"/"&amp;RIGHT(YEAR(C54)+1,2),RIGHT(YEAR(C54)-1,2)&amp;"/"&amp;RIGHT(YEAR(C54),2)))</f>
        <v/>
      </c>
      <c r="G54" s="128"/>
    </row>
    <row r="55" customFormat="false" ht="15" hidden="false" customHeight="true" outlineLevel="0" collapsed="false">
      <c r="A55" s="128"/>
      <c r="B55" s="128"/>
      <c r="C55" s="129"/>
      <c r="D55" s="130"/>
      <c r="E55" s="128"/>
      <c r="F55" s="36" t="str">
        <f aca="false">IF(C55="","",IF(MONTH(C55)&gt;=7,RIGHT(YEAR(C55),2)&amp;"/"&amp;RIGHT(YEAR(C55)+1,2),RIGHT(YEAR(C55)-1,2)&amp;"/"&amp;RIGHT(YEAR(C55),2)))</f>
        <v/>
      </c>
      <c r="G55" s="128"/>
    </row>
    <row r="56" customFormat="false" ht="15" hidden="false" customHeight="true" outlineLevel="0" collapsed="false">
      <c r="A56" s="128"/>
      <c r="B56" s="128"/>
      <c r="C56" s="129"/>
      <c r="D56" s="130"/>
      <c r="E56" s="128"/>
      <c r="F56" s="36" t="str">
        <f aca="false">IF(C56="","",IF(MONTH(C56)&gt;=7,RIGHT(YEAR(C56),2)&amp;"/"&amp;RIGHT(YEAR(C56)+1,2),RIGHT(YEAR(C56)-1,2)&amp;"/"&amp;RIGHT(YEAR(C56),2)))</f>
        <v/>
      </c>
      <c r="G56" s="128"/>
    </row>
    <row r="57" customFormat="false" ht="15" hidden="false" customHeight="true" outlineLevel="0" collapsed="false">
      <c r="A57" s="128"/>
      <c r="B57" s="128"/>
      <c r="C57" s="129"/>
      <c r="D57" s="130"/>
      <c r="E57" s="128"/>
      <c r="F57" s="36" t="str">
        <f aca="false">IF(C57="","",IF(MONTH(C57)&gt;=7,RIGHT(YEAR(C57),2)&amp;"/"&amp;RIGHT(YEAR(C57)+1,2),RIGHT(YEAR(C57)-1,2)&amp;"/"&amp;RIGHT(YEAR(C57),2)))</f>
        <v/>
      </c>
      <c r="G57" s="128"/>
    </row>
    <row r="58" customFormat="false" ht="15" hidden="false" customHeight="true" outlineLevel="0" collapsed="false">
      <c r="A58" s="128"/>
      <c r="B58" s="128"/>
      <c r="C58" s="129"/>
      <c r="D58" s="130"/>
      <c r="E58" s="128"/>
      <c r="F58" s="36" t="str">
        <f aca="false">IF(C58="","",IF(MONTH(C58)&gt;=7,RIGHT(YEAR(C58),2)&amp;"/"&amp;RIGHT(YEAR(C58)+1,2),RIGHT(YEAR(C58)-1,2)&amp;"/"&amp;RIGHT(YEAR(C58),2)))</f>
        <v/>
      </c>
      <c r="G58" s="128"/>
    </row>
    <row r="59" customFormat="false" ht="15" hidden="false" customHeight="true" outlineLevel="0" collapsed="false">
      <c r="A59" s="128"/>
      <c r="B59" s="128"/>
      <c r="C59" s="129"/>
      <c r="D59" s="130"/>
      <c r="E59" s="128"/>
      <c r="F59" s="36" t="str">
        <f aca="false">IF(C59="","",IF(MONTH(C59)&gt;=7,RIGHT(YEAR(C59),2)&amp;"/"&amp;RIGHT(YEAR(C59)+1,2),RIGHT(YEAR(C59)-1,2)&amp;"/"&amp;RIGHT(YEAR(C59),2)))</f>
        <v/>
      </c>
      <c r="G59" s="128"/>
    </row>
    <row r="60" customFormat="false" ht="15" hidden="false" customHeight="true" outlineLevel="0" collapsed="false">
      <c r="A60" s="128"/>
      <c r="B60" s="128"/>
      <c r="C60" s="129"/>
      <c r="D60" s="130"/>
      <c r="E60" s="128"/>
      <c r="F60" s="36" t="str">
        <f aca="false">IF(C60="","",IF(MONTH(C60)&gt;=7,RIGHT(YEAR(C60),2)&amp;"/"&amp;RIGHT(YEAR(C60)+1,2),RIGHT(YEAR(C60)-1,2)&amp;"/"&amp;RIGHT(YEAR(C60),2)))</f>
        <v/>
      </c>
      <c r="G60" s="128"/>
    </row>
    <row r="61" customFormat="false" ht="15" hidden="false" customHeight="true" outlineLevel="0" collapsed="false">
      <c r="A61" s="128"/>
      <c r="B61" s="128"/>
      <c r="C61" s="129"/>
      <c r="D61" s="130"/>
      <c r="E61" s="128"/>
      <c r="F61" s="36" t="str">
        <f aca="false">IF(C61="","",IF(MONTH(C61)&gt;=7,RIGHT(YEAR(C61),2)&amp;"/"&amp;RIGHT(YEAR(C61)+1,2),RIGHT(YEAR(C61)-1,2)&amp;"/"&amp;RIGHT(YEAR(C61),2)))</f>
        <v/>
      </c>
      <c r="G61" s="128"/>
    </row>
    <row r="62" customFormat="false" ht="15" hidden="false" customHeight="true" outlineLevel="0" collapsed="false">
      <c r="A62" s="128"/>
      <c r="B62" s="128"/>
      <c r="C62" s="129"/>
      <c r="D62" s="130"/>
      <c r="E62" s="128"/>
      <c r="F62" s="36" t="str">
        <f aca="false">IF(C62="","",IF(MONTH(C62)&gt;=7,RIGHT(YEAR(C62),2)&amp;"/"&amp;RIGHT(YEAR(C62)+1,2),RIGHT(YEAR(C62)-1,2)&amp;"/"&amp;RIGHT(YEAR(C62),2)))</f>
        <v/>
      </c>
      <c r="G62" s="128"/>
    </row>
    <row r="63" customFormat="false" ht="15" hidden="false" customHeight="true" outlineLevel="0" collapsed="false">
      <c r="A63" s="128"/>
      <c r="B63" s="128"/>
      <c r="C63" s="129"/>
      <c r="D63" s="130"/>
      <c r="E63" s="128"/>
      <c r="F63" s="36" t="str">
        <f aca="false">IF(C63="","",IF(MONTH(C63)&gt;=7,RIGHT(YEAR(C63),2)&amp;"/"&amp;RIGHT(YEAR(C63)+1,2),RIGHT(YEAR(C63)-1,2)&amp;"/"&amp;RIGHT(YEAR(C63),2)))</f>
        <v/>
      </c>
      <c r="G63" s="128"/>
    </row>
    <row r="64" customFormat="false" ht="15" hidden="false" customHeight="true" outlineLevel="0" collapsed="false">
      <c r="A64" s="128"/>
      <c r="B64" s="128"/>
      <c r="C64" s="129"/>
      <c r="D64" s="130"/>
      <c r="E64" s="128"/>
      <c r="F64" s="36" t="str">
        <f aca="false">IF(C64="","",IF(MONTH(C64)&gt;=7,RIGHT(YEAR(C64),2)&amp;"/"&amp;RIGHT(YEAR(C64)+1,2),RIGHT(YEAR(C64)-1,2)&amp;"/"&amp;RIGHT(YEAR(C64),2)))</f>
        <v/>
      </c>
      <c r="G64" s="128"/>
    </row>
    <row r="65" customFormat="false" ht="15" hidden="false" customHeight="true" outlineLevel="0" collapsed="false">
      <c r="A65" s="128"/>
      <c r="B65" s="128"/>
      <c r="C65" s="129"/>
      <c r="D65" s="130"/>
      <c r="E65" s="128"/>
      <c r="F65" s="36" t="str">
        <f aca="false">IF(C65="","",IF(MONTH(C65)&gt;=7,RIGHT(YEAR(C65),2)&amp;"/"&amp;RIGHT(YEAR(C65)+1,2),RIGHT(YEAR(C65)-1,2)&amp;"/"&amp;RIGHT(YEAR(C65),2)))</f>
        <v/>
      </c>
      <c r="G65" s="128"/>
    </row>
    <row r="66" customFormat="false" ht="15" hidden="false" customHeight="true" outlineLevel="0" collapsed="false">
      <c r="A66" s="128"/>
      <c r="B66" s="128"/>
      <c r="C66" s="129"/>
      <c r="D66" s="130"/>
      <c r="E66" s="128"/>
      <c r="F66" s="36" t="str">
        <f aca="false">IF(C66="","",IF(MONTH(C66)&gt;=7,RIGHT(YEAR(C66),2)&amp;"/"&amp;RIGHT(YEAR(C66)+1,2),RIGHT(YEAR(C66)-1,2)&amp;"/"&amp;RIGHT(YEAR(C66),2)))</f>
        <v/>
      </c>
      <c r="G66" s="128"/>
    </row>
    <row r="67" customFormat="false" ht="15" hidden="false" customHeight="true" outlineLevel="0" collapsed="false">
      <c r="A67" s="128"/>
      <c r="B67" s="128"/>
      <c r="C67" s="129"/>
      <c r="D67" s="130"/>
      <c r="E67" s="128"/>
      <c r="F67" s="36" t="str">
        <f aca="false">IF(C67="","",IF(MONTH(C67)&gt;=7,RIGHT(YEAR(C67),2)&amp;"/"&amp;RIGHT(YEAR(C67)+1,2),RIGHT(YEAR(C67)-1,2)&amp;"/"&amp;RIGHT(YEAR(C67),2)))</f>
        <v/>
      </c>
      <c r="G67" s="128"/>
    </row>
    <row r="68" customFormat="false" ht="15" hidden="false" customHeight="true" outlineLevel="0" collapsed="false">
      <c r="A68" s="128"/>
      <c r="B68" s="128"/>
      <c r="C68" s="129"/>
      <c r="D68" s="130"/>
      <c r="E68" s="128"/>
      <c r="F68" s="36" t="str">
        <f aca="false">IF(C68="","",IF(MONTH(C68)&gt;=7,RIGHT(YEAR(C68),2)&amp;"/"&amp;RIGHT(YEAR(C68)+1,2),RIGHT(YEAR(C68)-1,2)&amp;"/"&amp;RIGHT(YEAR(C68),2)))</f>
        <v/>
      </c>
      <c r="G68" s="128"/>
    </row>
    <row r="69" customFormat="false" ht="15" hidden="false" customHeight="true" outlineLevel="0" collapsed="false">
      <c r="A69" s="128"/>
      <c r="B69" s="128"/>
      <c r="C69" s="129"/>
      <c r="D69" s="130"/>
      <c r="E69" s="128"/>
      <c r="F69" s="36" t="str">
        <f aca="false">IF(C69="","",IF(MONTH(C69)&gt;=7,RIGHT(YEAR(C69),2)&amp;"/"&amp;RIGHT(YEAR(C69)+1,2),RIGHT(YEAR(C69)-1,2)&amp;"/"&amp;RIGHT(YEAR(C69),2)))</f>
        <v/>
      </c>
      <c r="G69" s="128"/>
    </row>
    <row r="70" customFormat="false" ht="15" hidden="false" customHeight="true" outlineLevel="0" collapsed="false">
      <c r="A70" s="128"/>
      <c r="B70" s="128"/>
      <c r="C70" s="129"/>
      <c r="D70" s="130"/>
      <c r="E70" s="128"/>
      <c r="F70" s="36" t="str">
        <f aca="false">IF(C70="","",IF(MONTH(C70)&gt;=7,RIGHT(YEAR(C70),2)&amp;"/"&amp;RIGHT(YEAR(C70)+1,2),RIGHT(YEAR(C70)-1,2)&amp;"/"&amp;RIGHT(YEAR(C70),2)))</f>
        <v/>
      </c>
      <c r="G70" s="128"/>
    </row>
    <row r="71" customFormat="false" ht="15" hidden="false" customHeight="true" outlineLevel="0" collapsed="false">
      <c r="A71" s="128"/>
      <c r="B71" s="128"/>
      <c r="C71" s="129"/>
      <c r="D71" s="130"/>
      <c r="E71" s="128"/>
      <c r="F71" s="36" t="str">
        <f aca="false">IF(C71="","",IF(MONTH(C71)&gt;=7,RIGHT(YEAR(C71),2)&amp;"/"&amp;RIGHT(YEAR(C71)+1,2),RIGHT(YEAR(C71)-1,2)&amp;"/"&amp;RIGHT(YEAR(C71),2)))</f>
        <v/>
      </c>
      <c r="G71" s="128"/>
    </row>
    <row r="72" customFormat="false" ht="15" hidden="false" customHeight="true" outlineLevel="0" collapsed="false">
      <c r="A72" s="128"/>
      <c r="B72" s="128"/>
      <c r="C72" s="129"/>
      <c r="D72" s="130"/>
      <c r="E72" s="128"/>
      <c r="F72" s="36" t="str">
        <f aca="false">IF(C72="","",IF(MONTH(C72)&gt;=7,RIGHT(YEAR(C72),2)&amp;"/"&amp;RIGHT(YEAR(C72)+1,2),RIGHT(YEAR(C72)-1,2)&amp;"/"&amp;RIGHT(YEAR(C72),2)))</f>
        <v/>
      </c>
      <c r="G72" s="128"/>
    </row>
    <row r="73" customFormat="false" ht="15" hidden="false" customHeight="true" outlineLevel="0" collapsed="false">
      <c r="A73" s="128"/>
      <c r="B73" s="128"/>
      <c r="C73" s="129"/>
      <c r="D73" s="130"/>
      <c r="E73" s="128"/>
      <c r="F73" s="36" t="str">
        <f aca="false">IF(C73="","",IF(MONTH(C73)&gt;=7,RIGHT(YEAR(C73),2)&amp;"/"&amp;RIGHT(YEAR(C73)+1,2),RIGHT(YEAR(C73)-1,2)&amp;"/"&amp;RIGHT(YEAR(C73),2)))</f>
        <v/>
      </c>
      <c r="G73" s="128"/>
    </row>
    <row r="74" customFormat="false" ht="15" hidden="false" customHeight="true" outlineLevel="0" collapsed="false">
      <c r="A74" s="128"/>
      <c r="B74" s="128"/>
      <c r="C74" s="129"/>
      <c r="D74" s="130"/>
      <c r="E74" s="128"/>
      <c r="F74" s="36" t="str">
        <f aca="false">IF(C74="","",IF(MONTH(C74)&gt;=7,RIGHT(YEAR(C74),2)&amp;"/"&amp;RIGHT(YEAR(C74)+1,2),RIGHT(YEAR(C74)-1,2)&amp;"/"&amp;RIGHT(YEAR(C74),2)))</f>
        <v/>
      </c>
      <c r="G74" s="128"/>
    </row>
    <row r="76" customFormat="false" ht="15" hidden="false" customHeight="true" outlineLevel="0" collapsed="false">
      <c r="A76" s="10" t="s">
        <v>1343</v>
      </c>
    </row>
    <row r="77" customFormat="false" ht="15" hidden="false" customHeight="true" outlineLevel="0" collapsed="false">
      <c r="A77" s="12" t="s">
        <v>1344</v>
      </c>
      <c r="D77" s="131" t="n">
        <v>368.05</v>
      </c>
    </row>
    <row r="78" customFormat="false" ht="15" hidden="false" customHeight="true" outlineLevel="0" collapsed="false">
      <c r="A78" s="12" t="s">
        <v>1345</v>
      </c>
      <c r="D78" s="132" t="n">
        <f aca="false">Nota7!B29/1000000</f>
        <v>67.38503202</v>
      </c>
    </row>
    <row r="79" customFormat="false" ht="15" hidden="false" customHeight="true" outlineLevel="0" collapsed="false">
      <c r="A79" s="10" t="s">
        <v>1346</v>
      </c>
      <c r="D79" s="133" t="n">
        <f aca="false">D77/D78</f>
        <v>5.46189545314399</v>
      </c>
    </row>
    <row r="80" customFormat="false" ht="15" hidden="false" customHeight="true" outlineLevel="0" collapsed="false">
      <c r="A80" s="10" t="s">
        <v>1347</v>
      </c>
      <c r="D80" s="134" t="n">
        <f aca="false">D77-D78</f>
        <v>300.66496798</v>
      </c>
    </row>
    <row r="81" customFormat="false" ht="15" hidden="false" customHeight="true" outlineLevel="0" collapsed="false">
      <c r="A81" s="3" t="s">
        <v>1348</v>
      </c>
    </row>
  </sheetData>
  <mergeCells count="2">
    <mergeCell ref="A9:H9"/>
    <mergeCell ref="J20:M23"/>
  </mergeCells>
  <dataValidations count="1">
    <dataValidation allowBlank="true" errorStyle="stop" operator="between" showDropDown="false" showErrorMessage="false" showInputMessage="false" sqref="G15:G74" type="list">
      <formula1>"venta,cesión,libre"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8"/>
    <col collapsed="false" customWidth="true" hidden="false" outlineLevel="0" max="2" min="2" style="1" width="16"/>
    <col collapsed="false" customWidth="true" hidden="false" outlineLevel="0" max="3" min="3" style="1" width="20"/>
    <col collapsed="false" customWidth="true" hidden="false" outlineLevel="0" max="4" min="4" style="1" width="18"/>
    <col collapsed="false" customWidth="true" hidden="false" outlineLevel="0" max="5" min="5" style="1" width="6"/>
    <col collapsed="false" customWidth="true" hidden="false" outlineLevel="0" max="6" min="6" style="1" width="16"/>
    <col collapsed="false" customWidth="true" hidden="false" outlineLevel="0" max="7" min="7" style="1" width="12"/>
    <col collapsed="false" customWidth="true" hidden="false" outlineLevel="0" max="9" min="8" style="1" width="22"/>
    <col collapsed="false" customWidth="true" hidden="false" outlineLevel="0" max="10" min="10" style="1" width="16"/>
    <col collapsed="false" customWidth="true" hidden="false" outlineLevel="0" max="11" min="11" style="1" width="13"/>
    <col collapsed="false" customWidth="true" hidden="false" outlineLevel="0" max="12" min="12" style="1" width="12"/>
    <col collapsed="false" customWidth="true" hidden="false" outlineLevel="0" max="14" min="13" style="1" width="16"/>
    <col collapsed="false" customWidth="true" hidden="false" outlineLevel="0" max="15" min="15" style="1" width="60"/>
  </cols>
  <sheetData>
    <row r="1" customFormat="false" ht="15.75" hidden="false" customHeight="true" outlineLevel="0" collapsed="false">
      <c r="A1" s="135" t="s">
        <v>1349</v>
      </c>
    </row>
    <row r="2" customFormat="false" ht="15" hidden="false" customHeight="true" outlineLevel="0" collapsed="false">
      <c r="A2" s="73" t="s">
        <v>1350</v>
      </c>
    </row>
    <row r="3" customFormat="false" ht="15" hidden="false" customHeight="true" outlineLevel="0" collapsed="false">
      <c r="A3" s="73" t="s">
        <v>1351</v>
      </c>
    </row>
    <row r="5" customFormat="false" ht="41.25" hidden="false" customHeight="true" outlineLevel="0" collapsed="false">
      <c r="A5" s="136" t="s">
        <v>1282</v>
      </c>
      <c r="B5" s="136" t="s">
        <v>1352</v>
      </c>
      <c r="C5" s="136" t="s">
        <v>1278</v>
      </c>
      <c r="D5" s="136" t="s">
        <v>1353</v>
      </c>
      <c r="E5" s="136" t="s">
        <v>1354</v>
      </c>
      <c r="F5" s="136" t="s">
        <v>1355</v>
      </c>
      <c r="G5" s="136" t="s">
        <v>1356</v>
      </c>
      <c r="H5" s="136" t="s">
        <v>1357</v>
      </c>
      <c r="I5" s="136" t="s">
        <v>1358</v>
      </c>
      <c r="J5" s="136" t="s">
        <v>1359</v>
      </c>
      <c r="K5" s="136" t="s">
        <v>1360</v>
      </c>
      <c r="L5" s="136" t="s">
        <v>1361</v>
      </c>
      <c r="M5" s="136" t="s">
        <v>1362</v>
      </c>
      <c r="N5" s="136" t="s">
        <v>1363</v>
      </c>
      <c r="O5" s="136" t="s">
        <v>193</v>
      </c>
    </row>
    <row r="6" customFormat="false" ht="15" hidden="false" customHeight="true" outlineLevel="0" collapsed="false">
      <c r="A6" s="122" t="n">
        <v>2015</v>
      </c>
      <c r="B6" s="137" t="n">
        <v>42186</v>
      </c>
      <c r="C6" s="122" t="s">
        <v>1364</v>
      </c>
      <c r="D6" s="122" t="s">
        <v>1365</v>
      </c>
      <c r="E6" s="122" t="n">
        <v>18</v>
      </c>
      <c r="F6" s="122" t="s">
        <v>1366</v>
      </c>
      <c r="G6" s="1" t="str">
        <f aca="false">IF(AND(A6&gt;=2015,A6&lt;=2024),"Sí","No")</f>
        <v>Sí</v>
      </c>
      <c r="H6" s="122" t="s">
        <v>1367</v>
      </c>
      <c r="I6" s="122" t="s">
        <v>1368</v>
      </c>
      <c r="J6" s="138" t="n">
        <v>0</v>
      </c>
      <c r="K6" s="138"/>
      <c r="L6" s="122" t="s">
        <v>1369</v>
      </c>
      <c r="M6" s="138"/>
      <c r="N6" s="139"/>
      <c r="O6" s="1" t="s">
        <v>1370</v>
      </c>
    </row>
    <row r="7" customFormat="false" ht="15" hidden="false" customHeight="true" outlineLevel="0" collapsed="false">
      <c r="A7" s="122" t="n">
        <v>2016</v>
      </c>
      <c r="B7" s="137" t="n">
        <v>42552</v>
      </c>
      <c r="C7" s="122" t="s">
        <v>1371</v>
      </c>
      <c r="D7" s="122" t="s">
        <v>1372</v>
      </c>
      <c r="E7" s="122" t="n">
        <v>19</v>
      </c>
      <c r="F7" s="122" t="s">
        <v>1366</v>
      </c>
      <c r="G7" s="1" t="str">
        <f aca="false">IF(AND(A7&gt;=2015,A7&lt;=2024),"Sí","No")</f>
        <v>Sí</v>
      </c>
      <c r="H7" s="122" t="s">
        <v>1373</v>
      </c>
      <c r="I7" s="122" t="s">
        <v>1374</v>
      </c>
      <c r="J7" s="138" t="n">
        <v>0</v>
      </c>
      <c r="K7" s="138"/>
      <c r="L7" s="122" t="s">
        <v>1369</v>
      </c>
      <c r="M7" s="138"/>
      <c r="N7" s="139"/>
      <c r="O7" s="1" t="s">
        <v>1370</v>
      </c>
    </row>
    <row r="8" customFormat="false" ht="15" hidden="false" customHeight="true" outlineLevel="0" collapsed="false">
      <c r="A8" s="122" t="n">
        <v>2016</v>
      </c>
      <c r="B8" s="137" t="n">
        <v>42552</v>
      </c>
      <c r="C8" s="122" t="s">
        <v>1375</v>
      </c>
      <c r="D8" s="122" t="s">
        <v>1372</v>
      </c>
      <c r="E8" s="122" t="n">
        <v>20</v>
      </c>
      <c r="F8" s="122" t="s">
        <v>1366</v>
      </c>
      <c r="G8" s="1" t="str">
        <f aca="false">IF(AND(A8&gt;=2015,A8&lt;=2024),"Sí","No")</f>
        <v>Sí</v>
      </c>
      <c r="H8" s="122"/>
      <c r="I8" s="122"/>
      <c r="J8" s="138"/>
      <c r="K8" s="138"/>
      <c r="L8" s="122" t="s">
        <v>1369</v>
      </c>
      <c r="M8" s="138"/>
      <c r="N8" s="139"/>
      <c r="O8" s="1" t="s">
        <v>1376</v>
      </c>
    </row>
    <row r="9" customFormat="false" ht="15" hidden="false" customHeight="true" outlineLevel="0" collapsed="false">
      <c r="A9" s="122" t="n">
        <v>2016</v>
      </c>
      <c r="B9" s="137" t="n">
        <v>42552</v>
      </c>
      <c r="C9" s="122" t="s">
        <v>1377</v>
      </c>
      <c r="D9" s="122" t="s">
        <v>1378</v>
      </c>
      <c r="E9" s="122" t="n">
        <v>20</v>
      </c>
      <c r="F9" s="122" t="s">
        <v>1366</v>
      </c>
      <c r="G9" s="1" t="str">
        <f aca="false">IF(AND(A9&gt;=2015,A9&lt;=2024),"Sí","No")</f>
        <v>Sí</v>
      </c>
      <c r="H9" s="122" t="s">
        <v>1325</v>
      </c>
      <c r="I9" s="122" t="s">
        <v>1379</v>
      </c>
      <c r="J9" s="138" t="n">
        <v>20000000</v>
      </c>
      <c r="K9" s="138"/>
      <c r="L9" s="122" t="s">
        <v>1369</v>
      </c>
      <c r="M9" s="138"/>
      <c r="N9" s="139"/>
    </row>
    <row r="10" customFormat="false" ht="15" hidden="false" customHeight="true" outlineLevel="0" collapsed="false">
      <c r="A10" s="122" t="n">
        <v>2018</v>
      </c>
      <c r="B10" s="137" t="n">
        <v>43282</v>
      </c>
      <c r="C10" s="122" t="s">
        <v>1380</v>
      </c>
      <c r="D10" s="122" t="s">
        <v>1381</v>
      </c>
      <c r="E10" s="122" t="n">
        <v>22</v>
      </c>
      <c r="F10" s="122" t="s">
        <v>1366</v>
      </c>
      <c r="G10" s="1" t="str">
        <f aca="false">IF(AND(A10&gt;=2015,A10&lt;=2024),"Sí","No")</f>
        <v>Sí</v>
      </c>
      <c r="H10" s="122" t="s">
        <v>1338</v>
      </c>
      <c r="I10" s="122" t="s">
        <v>1382</v>
      </c>
      <c r="J10" s="138" t="n">
        <v>0</v>
      </c>
      <c r="K10" s="138"/>
      <c r="L10" s="122" t="s">
        <v>1369</v>
      </c>
      <c r="M10" s="138"/>
      <c r="N10" s="139"/>
      <c r="O10" s="1" t="s">
        <v>1370</v>
      </c>
    </row>
    <row r="11" customFormat="false" ht="15" hidden="false" customHeight="true" outlineLevel="0" collapsed="false">
      <c r="A11" s="122" t="n">
        <v>2018</v>
      </c>
      <c r="B11" s="137" t="n">
        <v>43282</v>
      </c>
      <c r="C11" s="122" t="s">
        <v>1311</v>
      </c>
      <c r="D11" s="122" t="s">
        <v>1383</v>
      </c>
      <c r="E11" s="122" t="n">
        <v>21</v>
      </c>
      <c r="F11" s="122" t="s">
        <v>1366</v>
      </c>
      <c r="G11" s="1" t="str">
        <f aca="false">IF(AND(A11&gt;=2015,A11&lt;=2024),"Sí","No")</f>
        <v>Sí</v>
      </c>
      <c r="H11" s="122" t="s">
        <v>1312</v>
      </c>
      <c r="I11" s="122" t="s">
        <v>1384</v>
      </c>
      <c r="J11" s="138" t="n">
        <v>33000000</v>
      </c>
      <c r="K11" s="138"/>
      <c r="L11" s="122" t="s">
        <v>1369</v>
      </c>
      <c r="M11" s="138"/>
      <c r="N11" s="139"/>
    </row>
    <row r="12" customFormat="false" ht="15" hidden="false" customHeight="true" outlineLevel="0" collapsed="false">
      <c r="A12" s="122" t="n">
        <v>2018</v>
      </c>
      <c r="B12" s="137" t="n">
        <v>43282</v>
      </c>
      <c r="C12" s="122" t="s">
        <v>1385</v>
      </c>
      <c r="D12" s="122" t="s">
        <v>1386</v>
      </c>
      <c r="E12" s="122" t="n">
        <v>22</v>
      </c>
      <c r="F12" s="122" t="s">
        <v>1366</v>
      </c>
      <c r="G12" s="1" t="str">
        <f aca="false">IF(AND(A12&gt;=2015,A12&lt;=2024),"Sí","No")</f>
        <v>Sí</v>
      </c>
      <c r="H12" s="122" t="s">
        <v>1387</v>
      </c>
      <c r="I12" s="122" t="s">
        <v>1388</v>
      </c>
      <c r="J12" s="138"/>
      <c r="K12" s="138"/>
      <c r="L12" s="122" t="s">
        <v>1369</v>
      </c>
      <c r="M12" s="138"/>
      <c r="N12" s="139"/>
      <c r="O12" s="1" t="s">
        <v>1389</v>
      </c>
    </row>
    <row r="13" customFormat="false" ht="15" hidden="false" customHeight="true" outlineLevel="0" collapsed="false">
      <c r="A13" s="122" t="n">
        <v>2018</v>
      </c>
      <c r="B13" s="137" t="n">
        <v>43282</v>
      </c>
      <c r="C13" s="122" t="s">
        <v>1390</v>
      </c>
      <c r="D13" s="122" t="s">
        <v>1391</v>
      </c>
      <c r="E13" s="122" t="n">
        <v>22</v>
      </c>
      <c r="F13" s="122" t="s">
        <v>1366</v>
      </c>
      <c r="G13" s="1" t="str">
        <f aca="false">IF(AND(A13&gt;=2015,A13&lt;=2024),"Sí","No")</f>
        <v>Sí</v>
      </c>
      <c r="H13" s="122" t="s">
        <v>1392</v>
      </c>
      <c r="I13" s="122" t="s">
        <v>1393</v>
      </c>
      <c r="J13" s="138" t="n">
        <v>500000</v>
      </c>
      <c r="K13" s="138"/>
      <c r="L13" s="122" t="s">
        <v>1369</v>
      </c>
      <c r="M13" s="138"/>
      <c r="N13" s="139"/>
    </row>
    <row r="14" customFormat="false" ht="15" hidden="false" customHeight="true" outlineLevel="0" collapsed="false">
      <c r="A14" s="122" t="n">
        <v>2018</v>
      </c>
      <c r="B14" s="137" t="n">
        <v>43282</v>
      </c>
      <c r="C14" s="122" t="s">
        <v>1394</v>
      </c>
      <c r="D14" s="122" t="s">
        <v>1383</v>
      </c>
      <c r="E14" s="122" t="n">
        <v>22</v>
      </c>
      <c r="F14" s="122" t="s">
        <v>1366</v>
      </c>
      <c r="G14" s="1" t="str">
        <f aca="false">IF(AND(A14&gt;=2015,A14&lt;=2024),"Sí","No")</f>
        <v>Sí</v>
      </c>
      <c r="H14" s="122" t="s">
        <v>1395</v>
      </c>
      <c r="I14" s="122" t="s">
        <v>1396</v>
      </c>
      <c r="J14" s="138" t="n">
        <v>0</v>
      </c>
      <c r="K14" s="138"/>
      <c r="L14" s="122" t="s">
        <v>1369</v>
      </c>
      <c r="M14" s="138"/>
      <c r="N14" s="139"/>
      <c r="O14" s="1" t="s">
        <v>1370</v>
      </c>
    </row>
    <row r="15" customFormat="false" ht="15" hidden="false" customHeight="true" outlineLevel="0" collapsed="false">
      <c r="A15" s="122" t="n">
        <v>2018</v>
      </c>
      <c r="B15" s="137" t="n">
        <v>43405</v>
      </c>
      <c r="C15" s="122" t="s">
        <v>1317</v>
      </c>
      <c r="D15" s="122" t="s">
        <v>1386</v>
      </c>
      <c r="E15" s="122" t="n">
        <v>19</v>
      </c>
      <c r="F15" s="122" t="s">
        <v>1366</v>
      </c>
      <c r="G15" s="1" t="str">
        <f aca="false">IF(AND(A15&gt;=2015,A15&lt;=2024),"Sí","No")</f>
        <v>Sí</v>
      </c>
      <c r="H15" s="122" t="s">
        <v>1318</v>
      </c>
      <c r="I15" s="122" t="s">
        <v>1397</v>
      </c>
      <c r="J15" s="138" t="n">
        <v>21100000</v>
      </c>
      <c r="K15" s="138"/>
      <c r="L15" s="122" t="s">
        <v>1369</v>
      </c>
      <c r="M15" s="138"/>
      <c r="N15" s="139"/>
    </row>
    <row r="16" customFormat="false" ht="15" hidden="false" customHeight="true" outlineLevel="0" collapsed="false">
      <c r="A16" s="122" t="n">
        <v>2018</v>
      </c>
      <c r="B16" s="137" t="n">
        <v>43466</v>
      </c>
      <c r="C16" s="122" t="s">
        <v>1309</v>
      </c>
      <c r="D16" s="122" t="s">
        <v>1398</v>
      </c>
      <c r="E16" s="122" t="n">
        <v>19</v>
      </c>
      <c r="F16" s="122" t="s">
        <v>1366</v>
      </c>
      <c r="G16" s="1" t="str">
        <f aca="false">IF(AND(A16&gt;=2015,A16&lt;=2024),"Sí","No")</f>
        <v>Sí</v>
      </c>
      <c r="H16" s="122" t="s">
        <v>1399</v>
      </c>
      <c r="I16" s="122" t="s">
        <v>1400</v>
      </c>
      <c r="J16" s="138" t="n">
        <v>5500000</v>
      </c>
      <c r="K16" s="138" t="n">
        <v>4000000</v>
      </c>
      <c r="L16" s="122" t="s">
        <v>1369</v>
      </c>
      <c r="M16" s="138"/>
      <c r="N16" s="139"/>
      <c r="O16" s="1" t="s">
        <v>1401</v>
      </c>
    </row>
    <row r="17" customFormat="false" ht="15" hidden="false" customHeight="true" outlineLevel="0" collapsed="false">
      <c r="A17" s="122" t="n">
        <v>2019</v>
      </c>
      <c r="B17" s="137" t="n">
        <v>43647</v>
      </c>
      <c r="C17" s="122" t="s">
        <v>1402</v>
      </c>
      <c r="D17" s="122" t="s">
        <v>1372</v>
      </c>
      <c r="E17" s="122" t="n">
        <v>22</v>
      </c>
      <c r="F17" s="122" t="s">
        <v>1366</v>
      </c>
      <c r="G17" s="1" t="str">
        <f aca="false">IF(AND(A17&gt;=2015,A17&lt;=2024),"Sí","No")</f>
        <v>Sí</v>
      </c>
      <c r="H17" s="122" t="s">
        <v>1403</v>
      </c>
      <c r="I17" s="122" t="s">
        <v>1404</v>
      </c>
      <c r="J17" s="138" t="n">
        <v>0</v>
      </c>
      <c r="K17" s="138"/>
      <c r="L17" s="122" t="s">
        <v>1369</v>
      </c>
      <c r="M17" s="138"/>
      <c r="N17" s="139"/>
      <c r="O17" s="1" t="s">
        <v>1370</v>
      </c>
    </row>
    <row r="18" customFormat="false" ht="15" hidden="false" customHeight="true" outlineLevel="0" collapsed="false">
      <c r="A18" s="122" t="n">
        <v>2019</v>
      </c>
      <c r="B18" s="137" t="n">
        <v>43647</v>
      </c>
      <c r="C18" s="122" t="s">
        <v>1405</v>
      </c>
      <c r="D18" s="122" t="s">
        <v>1372</v>
      </c>
      <c r="E18" s="122" t="n">
        <v>22</v>
      </c>
      <c r="F18" s="122" t="s">
        <v>1366</v>
      </c>
      <c r="G18" s="1" t="str">
        <f aca="false">IF(AND(A18&gt;=2015,A18&lt;=2024),"Sí","No")</f>
        <v>Sí</v>
      </c>
      <c r="H18" s="122" t="s">
        <v>1342</v>
      </c>
      <c r="I18" s="122" t="s">
        <v>1406</v>
      </c>
      <c r="J18" s="138" t="n">
        <v>375000</v>
      </c>
      <c r="K18" s="138"/>
      <c r="L18" s="122" t="s">
        <v>1369</v>
      </c>
      <c r="M18" s="138"/>
      <c r="N18" s="139"/>
    </row>
    <row r="19" customFormat="false" ht="15" hidden="false" customHeight="true" outlineLevel="0" collapsed="false">
      <c r="A19" s="122" t="n">
        <v>2019</v>
      </c>
      <c r="B19" s="137" t="n">
        <v>43857</v>
      </c>
      <c r="C19" s="122" t="s">
        <v>1407</v>
      </c>
      <c r="D19" s="122" t="s">
        <v>1383</v>
      </c>
      <c r="E19" s="122" t="n">
        <v>26</v>
      </c>
      <c r="F19" s="122" t="s">
        <v>1366</v>
      </c>
      <c r="G19" s="1" t="str">
        <f aca="false">IF(AND(A19&gt;=2015,A19&lt;=2024),"Sí","No")</f>
        <v>Sí</v>
      </c>
      <c r="H19" s="122" t="s">
        <v>1408</v>
      </c>
      <c r="I19" s="122" t="s">
        <v>1409</v>
      </c>
      <c r="J19" s="138" t="n">
        <v>0</v>
      </c>
      <c r="K19" s="138"/>
      <c r="L19" s="122" t="s">
        <v>1369</v>
      </c>
      <c r="M19" s="138"/>
      <c r="N19" s="139"/>
      <c r="O19" s="1" t="s">
        <v>1410</v>
      </c>
    </row>
    <row r="20" customFormat="false" ht="15" hidden="false" customHeight="true" outlineLevel="0" collapsed="false">
      <c r="A20" s="122" t="n">
        <v>2020</v>
      </c>
      <c r="B20" s="137" t="n">
        <v>44044</v>
      </c>
      <c r="C20" s="122" t="s">
        <v>1411</v>
      </c>
      <c r="D20" s="122" t="s">
        <v>1412</v>
      </c>
      <c r="E20" s="122" t="n">
        <v>19</v>
      </c>
      <c r="F20" s="122" t="s">
        <v>1366</v>
      </c>
      <c r="G20" s="1" t="str">
        <f aca="false">IF(AND(A20&gt;=2015,A20&lt;=2024),"Sí","No")</f>
        <v>Sí</v>
      </c>
      <c r="H20" s="122"/>
      <c r="I20" s="122"/>
      <c r="J20" s="138"/>
      <c r="K20" s="138"/>
      <c r="L20" s="122" t="s">
        <v>1369</v>
      </c>
      <c r="M20" s="138"/>
      <c r="N20" s="139"/>
      <c r="O20" s="1" t="s">
        <v>1413</v>
      </c>
    </row>
    <row r="21" customFormat="false" ht="15" hidden="false" customHeight="true" outlineLevel="0" collapsed="false">
      <c r="A21" s="122" t="n">
        <v>2020</v>
      </c>
      <c r="B21" s="137" t="n">
        <v>44044</v>
      </c>
      <c r="C21" s="122" t="s">
        <v>1314</v>
      </c>
      <c r="D21" s="122" t="s">
        <v>1398</v>
      </c>
      <c r="E21" s="122" t="n">
        <v>21</v>
      </c>
      <c r="F21" s="122" t="s">
        <v>1366</v>
      </c>
      <c r="G21" s="1" t="str">
        <f aca="false">IF(AND(A21&gt;=2015,A21&lt;=2024),"Sí","No")</f>
        <v>Sí</v>
      </c>
      <c r="H21" s="122" t="s">
        <v>1315</v>
      </c>
      <c r="I21" s="122" t="s">
        <v>1414</v>
      </c>
      <c r="J21" s="138" t="n">
        <v>2000000</v>
      </c>
      <c r="K21" s="138"/>
      <c r="L21" s="122" t="s">
        <v>1369</v>
      </c>
      <c r="M21" s="138"/>
      <c r="N21" s="139"/>
    </row>
    <row r="22" customFormat="false" ht="15" hidden="false" customHeight="true" outlineLevel="0" collapsed="false">
      <c r="A22" s="122" t="n">
        <v>2020</v>
      </c>
      <c r="B22" s="137" t="n">
        <v>44044</v>
      </c>
      <c r="C22" s="122" t="s">
        <v>1333</v>
      </c>
      <c r="D22" s="122" t="s">
        <v>1365</v>
      </c>
      <c r="E22" s="122" t="n">
        <v>19</v>
      </c>
      <c r="F22" s="122" t="s">
        <v>1366</v>
      </c>
      <c r="G22" s="1" t="str">
        <f aca="false">IF(AND(A22&gt;=2015,A22&lt;=2024),"Sí","No")</f>
        <v>Sí</v>
      </c>
      <c r="H22" s="122" t="s">
        <v>1325</v>
      </c>
      <c r="I22" s="122" t="s">
        <v>1415</v>
      </c>
      <c r="J22" s="138" t="n">
        <v>42000000</v>
      </c>
      <c r="K22" s="138"/>
      <c r="L22" s="122" t="s">
        <v>1369</v>
      </c>
      <c r="M22" s="138"/>
      <c r="N22" s="139"/>
      <c r="O22" s="1" t="s">
        <v>1416</v>
      </c>
    </row>
    <row r="23" customFormat="false" ht="15" hidden="false" customHeight="true" outlineLevel="0" collapsed="false">
      <c r="A23" s="122" t="n">
        <v>2020</v>
      </c>
      <c r="B23" s="137" t="n">
        <v>44044</v>
      </c>
      <c r="C23" s="122" t="s">
        <v>1339</v>
      </c>
      <c r="D23" s="122" t="s">
        <v>1365</v>
      </c>
      <c r="E23" s="122" t="n">
        <v>17</v>
      </c>
      <c r="F23" s="122" t="s">
        <v>1417</v>
      </c>
      <c r="G23" s="1" t="str">
        <f aca="false">IF(AND(A23&gt;=2015,A23&lt;=2024),"Sí","No")</f>
        <v>Sí</v>
      </c>
      <c r="H23" s="122" t="s">
        <v>1340</v>
      </c>
      <c r="I23" s="122" t="s">
        <v>1418</v>
      </c>
      <c r="J23" s="138" t="n">
        <v>30000000</v>
      </c>
      <c r="K23" s="138"/>
      <c r="L23" s="122" t="s">
        <v>1369</v>
      </c>
      <c r="M23" s="138"/>
      <c r="N23" s="139"/>
      <c r="O23" s="1" t="s">
        <v>1419</v>
      </c>
    </row>
    <row r="24" customFormat="false" ht="15" hidden="false" customHeight="true" outlineLevel="0" collapsed="false">
      <c r="A24" s="122" t="n">
        <v>2020</v>
      </c>
      <c r="B24" s="137" t="n">
        <v>44225</v>
      </c>
      <c r="C24" s="122" t="s">
        <v>1420</v>
      </c>
      <c r="D24" s="122" t="s">
        <v>1391</v>
      </c>
      <c r="E24" s="122" t="n">
        <v>22</v>
      </c>
      <c r="F24" s="122" t="s">
        <v>1366</v>
      </c>
      <c r="G24" s="1" t="str">
        <f aca="false">IF(AND(A24&gt;=2015,A24&lt;=2024),"Sí","No")</f>
        <v>Sí</v>
      </c>
      <c r="H24" s="122" t="s">
        <v>1421</v>
      </c>
      <c r="I24" s="122" t="s">
        <v>1422</v>
      </c>
      <c r="J24" s="138" t="n">
        <v>5000000</v>
      </c>
      <c r="K24" s="138"/>
      <c r="L24" s="122" t="s">
        <v>1369</v>
      </c>
      <c r="M24" s="138"/>
      <c r="N24" s="139"/>
    </row>
    <row r="25" customFormat="false" ht="15" hidden="false" customHeight="true" outlineLevel="0" collapsed="false">
      <c r="A25" s="122" t="n">
        <v>2021</v>
      </c>
      <c r="B25" s="137" t="n">
        <v>44378</v>
      </c>
      <c r="C25" s="122" t="s">
        <v>1423</v>
      </c>
      <c r="D25" s="122" t="s">
        <v>1412</v>
      </c>
      <c r="E25" s="122" t="n">
        <v>21</v>
      </c>
      <c r="F25" s="122" t="s">
        <v>1366</v>
      </c>
      <c r="G25" s="1" t="str">
        <f aca="false">IF(AND(A25&gt;=2015,A25&lt;=2024),"Sí","No")</f>
        <v>Sí</v>
      </c>
      <c r="H25" s="122"/>
      <c r="I25" s="122"/>
      <c r="J25" s="138"/>
      <c r="K25" s="138"/>
      <c r="L25" s="122" t="s">
        <v>1369</v>
      </c>
      <c r="M25" s="138"/>
      <c r="N25" s="139"/>
      <c r="O25" s="1" t="s">
        <v>1424</v>
      </c>
    </row>
    <row r="26" customFormat="false" ht="15" hidden="false" customHeight="true" outlineLevel="0" collapsed="false">
      <c r="A26" s="122" t="n">
        <v>2022</v>
      </c>
      <c r="B26" s="137" t="n">
        <v>44743</v>
      </c>
      <c r="C26" s="122" t="s">
        <v>1304</v>
      </c>
      <c r="D26" s="122" t="s">
        <v>1412</v>
      </c>
      <c r="E26" s="122" t="n">
        <v>21</v>
      </c>
      <c r="F26" s="122" t="s">
        <v>1366</v>
      </c>
      <c r="G26" s="1" t="str">
        <f aca="false">IF(AND(A26&gt;=2015,A26&lt;=2024),"Sí","No")</f>
        <v>Sí</v>
      </c>
      <c r="H26" s="122" t="s">
        <v>1305</v>
      </c>
      <c r="I26" s="122" t="s">
        <v>1425</v>
      </c>
      <c r="J26" s="138" t="n">
        <v>37000000</v>
      </c>
      <c r="K26" s="138"/>
      <c r="L26" s="122" t="s">
        <v>1369</v>
      </c>
      <c r="M26" s="138"/>
      <c r="N26" s="139"/>
      <c r="O26" s="1" t="s">
        <v>1426</v>
      </c>
    </row>
    <row r="27" customFormat="false" ht="15" hidden="false" customHeight="true" outlineLevel="0" collapsed="false">
      <c r="A27" s="122" t="n">
        <v>2022</v>
      </c>
      <c r="B27" s="137" t="n">
        <v>44931</v>
      </c>
      <c r="C27" s="122" t="s">
        <v>1321</v>
      </c>
      <c r="D27" s="122" t="s">
        <v>1427</v>
      </c>
      <c r="E27" s="122" t="n">
        <v>20</v>
      </c>
      <c r="F27" s="122" t="s">
        <v>1366</v>
      </c>
      <c r="G27" s="1" t="str">
        <f aca="false">IF(AND(A27&gt;=2015,A27&lt;=2024),"Sí","No")</f>
        <v>Sí</v>
      </c>
      <c r="H27" s="122" t="s">
        <v>1305</v>
      </c>
      <c r="I27" s="122" t="s">
        <v>1428</v>
      </c>
      <c r="J27" s="138" t="n">
        <v>24500000</v>
      </c>
      <c r="K27" s="138"/>
      <c r="L27" s="122" t="s">
        <v>1369</v>
      </c>
      <c r="M27" s="138"/>
      <c r="N27" s="139"/>
      <c r="O27" s="1" t="s">
        <v>1426</v>
      </c>
    </row>
    <row r="28" customFormat="false" ht="15" hidden="false" customHeight="true" outlineLevel="0" collapsed="false">
      <c r="A28" s="122" t="n">
        <v>2023</v>
      </c>
      <c r="B28" s="137" t="n">
        <v>45108</v>
      </c>
      <c r="C28" s="122" t="s">
        <v>1328</v>
      </c>
      <c r="D28" s="122" t="s">
        <v>1386</v>
      </c>
      <c r="E28" s="122" t="n">
        <v>21</v>
      </c>
      <c r="F28" s="122" t="s">
        <v>1366</v>
      </c>
      <c r="G28" s="1" t="str">
        <f aca="false">IF(AND(A28&gt;=2015,A28&lt;=2024),"Sí","No")</f>
        <v>Sí</v>
      </c>
      <c r="H28" s="122" t="s">
        <v>1329</v>
      </c>
      <c r="I28" s="122" t="s">
        <v>1429</v>
      </c>
      <c r="J28" s="138" t="n">
        <v>3700000</v>
      </c>
      <c r="K28" s="138"/>
      <c r="L28" s="122" t="s">
        <v>1369</v>
      </c>
      <c r="M28" s="138"/>
      <c r="N28" s="139"/>
    </row>
    <row r="29" customFormat="false" ht="15" hidden="false" customHeight="true" outlineLevel="0" collapsed="false">
      <c r="A29" s="122" t="n">
        <v>2024</v>
      </c>
      <c r="B29" s="137" t="n">
        <v>45474</v>
      </c>
      <c r="C29" s="122" t="s">
        <v>1430</v>
      </c>
      <c r="D29" s="122" t="s">
        <v>1391</v>
      </c>
      <c r="E29" s="122" t="n">
        <v>23</v>
      </c>
      <c r="F29" s="122" t="s">
        <v>1366</v>
      </c>
      <c r="G29" s="1" t="str">
        <f aca="false">IF(AND(A29&gt;=2015,A29&lt;=2024),"Sí","No")</f>
        <v>Sí</v>
      </c>
      <c r="H29" s="122" t="s">
        <v>1431</v>
      </c>
      <c r="I29" s="122" t="s">
        <v>1432</v>
      </c>
      <c r="J29" s="138" t="n">
        <v>0</v>
      </c>
      <c r="K29" s="138"/>
      <c r="L29" s="122" t="s">
        <v>1369</v>
      </c>
      <c r="M29" s="138"/>
      <c r="N29" s="139"/>
      <c r="O29" s="1" t="s">
        <v>1370</v>
      </c>
    </row>
    <row r="30" customFormat="false" ht="15" hidden="false" customHeight="true" outlineLevel="0" collapsed="false">
      <c r="A30" s="122" t="n">
        <v>2024</v>
      </c>
      <c r="B30" s="137" t="n">
        <v>45474</v>
      </c>
      <c r="C30" s="122" t="s">
        <v>1433</v>
      </c>
      <c r="D30" s="122" t="s">
        <v>1412</v>
      </c>
      <c r="E30" s="122" t="n">
        <v>23</v>
      </c>
      <c r="F30" s="122" t="s">
        <v>1366</v>
      </c>
      <c r="G30" s="1" t="str">
        <f aca="false">IF(AND(A30&gt;=2015,A30&lt;=2024),"Sí","No")</f>
        <v>Sí</v>
      </c>
      <c r="H30" s="122"/>
      <c r="I30" s="122"/>
      <c r="J30" s="138"/>
      <c r="K30" s="138"/>
      <c r="L30" s="122" t="s">
        <v>1369</v>
      </c>
      <c r="M30" s="138"/>
      <c r="N30" s="139"/>
      <c r="O30" s="1" t="s">
        <v>1424</v>
      </c>
    </row>
    <row r="31" customFormat="false" ht="15" hidden="false" customHeight="true" outlineLevel="0" collapsed="false">
      <c r="A31" s="122" t="n">
        <v>2024</v>
      </c>
      <c r="B31" s="137" t="n">
        <v>45474</v>
      </c>
      <c r="C31" s="122" t="s">
        <v>1434</v>
      </c>
      <c r="D31" s="122" t="s">
        <v>1372</v>
      </c>
      <c r="E31" s="122" t="n">
        <v>22</v>
      </c>
      <c r="F31" s="122" t="s">
        <v>1366</v>
      </c>
      <c r="G31" s="1" t="str">
        <f aca="false">IF(AND(A31&gt;=2015,A31&lt;=2024),"Sí","No")</f>
        <v>Sí</v>
      </c>
      <c r="H31" s="122"/>
      <c r="I31" s="122"/>
      <c r="J31" s="138"/>
      <c r="K31" s="138"/>
      <c r="L31" s="122" t="s">
        <v>1435</v>
      </c>
      <c r="M31" s="138" t="n">
        <v>25000000</v>
      </c>
      <c r="N31" s="139"/>
      <c r="O31" s="1" t="s">
        <v>1436</v>
      </c>
    </row>
    <row r="32" customFormat="false" ht="15" hidden="false" customHeight="true" outlineLevel="0" collapsed="false">
      <c r="A32" s="122" t="n">
        <v>2024</v>
      </c>
      <c r="B32" s="137" t="n">
        <v>45474</v>
      </c>
      <c r="C32" s="122" t="s">
        <v>1330</v>
      </c>
      <c r="D32" s="122" t="s">
        <v>1412</v>
      </c>
      <c r="E32" s="122" t="n">
        <v>21</v>
      </c>
      <c r="F32" s="122" t="s">
        <v>1366</v>
      </c>
      <c r="G32" s="1" t="str">
        <f aca="false">IF(AND(A32&gt;=2015,A32&lt;=2024),"Sí","No")</f>
        <v>Sí</v>
      </c>
      <c r="H32" s="122" t="s">
        <v>1331</v>
      </c>
      <c r="I32" s="122" t="s">
        <v>1437</v>
      </c>
      <c r="J32" s="138" t="n">
        <v>2500000</v>
      </c>
      <c r="K32" s="138"/>
      <c r="L32" s="122" t="s">
        <v>1369</v>
      </c>
      <c r="M32" s="138"/>
      <c r="N32" s="139"/>
    </row>
    <row r="33" customFormat="false" ht="15" hidden="false" customHeight="true" outlineLevel="0" collapsed="false">
      <c r="A33" s="122" t="n">
        <v>2024</v>
      </c>
      <c r="B33" s="137" t="n">
        <v>45474</v>
      </c>
      <c r="C33" s="122" t="s">
        <v>1337</v>
      </c>
      <c r="D33" s="122" t="s">
        <v>1412</v>
      </c>
      <c r="E33" s="122" t="n">
        <v>21</v>
      </c>
      <c r="F33" s="122" t="s">
        <v>1366</v>
      </c>
      <c r="G33" s="1" t="str">
        <f aca="false">IF(AND(A33&gt;=2015,A33&lt;=2024),"Sí","No")</f>
        <v>Sí</v>
      </c>
      <c r="H33" s="122" t="s">
        <v>1338</v>
      </c>
      <c r="I33" s="122" t="s">
        <v>1438</v>
      </c>
      <c r="J33" s="138" t="n">
        <v>500000</v>
      </c>
      <c r="K33" s="138"/>
      <c r="L33" s="122" t="s">
        <v>1369</v>
      </c>
      <c r="M33" s="138"/>
      <c r="N33" s="139"/>
    </row>
    <row r="34" customFormat="false" ht="15" hidden="false" customHeight="true" outlineLevel="0" collapsed="false">
      <c r="A34" s="122" t="n">
        <v>2024</v>
      </c>
      <c r="B34" s="137" t="n">
        <v>45597</v>
      </c>
      <c r="C34" s="122" t="s">
        <v>1439</v>
      </c>
      <c r="D34" s="122" t="s">
        <v>1383</v>
      </c>
      <c r="E34" s="122" t="n">
        <v>19</v>
      </c>
      <c r="F34" s="122" t="s">
        <v>1366</v>
      </c>
      <c r="G34" s="1" t="str">
        <f aca="false">IF(AND(A34&gt;=2015,A34&lt;=2024),"Sí","No")</f>
        <v>Sí</v>
      </c>
      <c r="H34" s="122"/>
      <c r="I34" s="122"/>
      <c r="J34" s="138"/>
      <c r="K34" s="138"/>
      <c r="L34" s="122" t="s">
        <v>1435</v>
      </c>
      <c r="M34" s="138" t="n">
        <v>15000000</v>
      </c>
      <c r="N34" s="139"/>
      <c r="O34" s="1" t="s">
        <v>1440</v>
      </c>
    </row>
    <row r="35" customFormat="false" ht="15" hidden="false" customHeight="true" outlineLevel="0" collapsed="false">
      <c r="A35" s="122" t="n">
        <v>2024</v>
      </c>
      <c r="B35" s="137" t="n">
        <v>45658</v>
      </c>
      <c r="C35" s="122" t="s">
        <v>1441</v>
      </c>
      <c r="D35" s="122" t="s">
        <v>1412</v>
      </c>
      <c r="E35" s="122" t="n">
        <v>19</v>
      </c>
      <c r="F35" s="122" t="s">
        <v>1366</v>
      </c>
      <c r="G35" s="1" t="str">
        <f aca="false">IF(AND(A35&gt;=2015,A35&lt;=2024),"Sí","No")</f>
        <v>Sí</v>
      </c>
      <c r="H35" s="122"/>
      <c r="I35" s="122"/>
      <c r="J35" s="138"/>
      <c r="K35" s="138"/>
      <c r="L35" s="122" t="s">
        <v>1369</v>
      </c>
      <c r="M35" s="138"/>
      <c r="N35" s="139"/>
      <c r="O35" s="1" t="s">
        <v>1442</v>
      </c>
    </row>
    <row r="36" customFormat="false" ht="15" hidden="false" customHeight="true" outlineLevel="0" collapsed="false">
      <c r="A36" s="122" t="n">
        <v>2025</v>
      </c>
      <c r="B36" s="137" t="n">
        <v>45839</v>
      </c>
      <c r="C36" s="122" t="s">
        <v>1341</v>
      </c>
      <c r="D36" s="122" t="s">
        <v>1412</v>
      </c>
      <c r="E36" s="122" t="n">
        <v>21</v>
      </c>
      <c r="F36" s="122" t="s">
        <v>1366</v>
      </c>
      <c r="G36" s="1" t="str">
        <f aca="false">IF(AND(A36&gt;=2015,A36&lt;=2024),"Sí","No")</f>
        <v>No</v>
      </c>
      <c r="H36" s="122" t="s">
        <v>1342</v>
      </c>
      <c r="I36" s="122" t="s">
        <v>1443</v>
      </c>
      <c r="J36" s="138" t="n">
        <v>3000000</v>
      </c>
      <c r="K36" s="138"/>
      <c r="L36" s="122" t="s">
        <v>1369</v>
      </c>
      <c r="M36" s="138"/>
      <c r="N36" s="139"/>
      <c r="O36" s="1" t="s">
        <v>1444</v>
      </c>
    </row>
    <row r="37" customFormat="false" ht="15" hidden="false" customHeight="true" outlineLevel="0" collapsed="false">
      <c r="A37" s="122" t="n">
        <v>2025</v>
      </c>
      <c r="B37" s="137" t="n">
        <v>45839</v>
      </c>
      <c r="C37" s="122" t="s">
        <v>1445</v>
      </c>
      <c r="D37" s="122" t="s">
        <v>1398</v>
      </c>
      <c r="E37" s="122" t="n">
        <v>21</v>
      </c>
      <c r="F37" s="122" t="s">
        <v>1366</v>
      </c>
      <c r="G37" s="1" t="str">
        <f aca="false">IF(AND(A37&gt;=2015,A37&lt;=2024),"Sí","No")</f>
        <v>No</v>
      </c>
      <c r="H37" s="122"/>
      <c r="I37" s="122"/>
      <c r="J37" s="138"/>
      <c r="K37" s="138"/>
      <c r="L37" s="122" t="s">
        <v>1369</v>
      </c>
      <c r="M37" s="138"/>
      <c r="N37" s="139"/>
      <c r="O37" s="1" t="s">
        <v>1446</v>
      </c>
    </row>
    <row r="39" customFormat="false" ht="15" hidden="false" customHeight="true" outlineLevel="0" collapsed="false">
      <c r="A39" s="70" t="s">
        <v>1447</v>
      </c>
    </row>
    <row r="40" customFormat="false" ht="15" hidden="false" customHeight="true" outlineLevel="0" collapsed="false">
      <c r="A40" s="1" t="s">
        <v>1448</v>
      </c>
      <c r="B40" s="140" t="n">
        <f aca="false">COUNTIF(G6:G37,"Sí")</f>
        <v>30</v>
      </c>
      <c r="C40" s="73" t="s">
        <v>1449</v>
      </c>
    </row>
    <row r="41" customFormat="false" ht="15" hidden="false" customHeight="true" outlineLevel="0" collapsed="false">
      <c r="A41" s="1" t="s">
        <v>1450</v>
      </c>
      <c r="B41" s="141" t="n">
        <f aca="false">-Nota25!B155</f>
        <v>11458830</v>
      </c>
      <c r="C41" s="73" t="s">
        <v>1451</v>
      </c>
    </row>
    <row r="42" customFormat="false" ht="15" hidden="false" customHeight="true" outlineLevel="0" collapsed="false">
      <c r="A42" s="1" t="s">
        <v>1452</v>
      </c>
      <c r="B42" s="142" t="n">
        <v>10</v>
      </c>
      <c r="C42" s="73" t="s">
        <v>1453</v>
      </c>
    </row>
    <row r="43" customFormat="false" ht="15" hidden="false" customHeight="true" outlineLevel="0" collapsed="false">
      <c r="A43" s="1" t="s">
        <v>1454</v>
      </c>
      <c r="B43" s="94" t="n">
        <f aca="false">B41*B42</f>
        <v>114588300</v>
      </c>
      <c r="C43" s="73" t="s">
        <v>1455</v>
      </c>
    </row>
    <row r="44" customFormat="false" ht="15" hidden="false" customHeight="true" outlineLevel="0" collapsed="false">
      <c r="A44" s="70" t="s">
        <v>1456</v>
      </c>
      <c r="B44" s="143" t="n">
        <f aca="false">B43/B40</f>
        <v>3819610</v>
      </c>
      <c r="C44" s="73" t="s">
        <v>1457</v>
      </c>
    </row>
    <row r="45" customFormat="false" ht="15" hidden="false" customHeight="true" outlineLevel="0" collapsed="false">
      <c r="A45" s="1" t="s">
        <v>1458</v>
      </c>
      <c r="B45" s="94" t="n">
        <f aca="false">SUMIFS(J6:J37,G6:G37,"Sí")-SUMIFS(K6:K37,G6:G37,"Sí")</f>
        <v>223675000</v>
      </c>
      <c r="C45" s="73" t="s">
        <v>1459</v>
      </c>
    </row>
    <row r="46" customFormat="false" ht="15" hidden="false" customHeight="true" outlineLevel="0" collapsed="false">
      <c r="A46" s="1" t="s">
        <v>1460</v>
      </c>
      <c r="B46" s="94" t="n">
        <f aca="false">SUMIFS(M6:M37,G6:G37,"Sí")</f>
        <v>40000000</v>
      </c>
      <c r="C46" s="73" t="s">
        <v>1461</v>
      </c>
    </row>
    <row r="47" customFormat="false" ht="15" hidden="false" customHeight="true" outlineLevel="0" collapsed="false">
      <c r="A47" s="70" t="s">
        <v>1462</v>
      </c>
      <c r="B47" s="144" t="n">
        <f aca="false">B45/B43</f>
        <v>1.95198811746051</v>
      </c>
    </row>
    <row r="48" customFormat="false" ht="15" hidden="false" customHeight="true" outlineLevel="0" collapsed="false">
      <c r="A48" s="70" t="s">
        <v>1463</v>
      </c>
      <c r="B48" s="144" t="n">
        <f aca="false">(B45+B46)/B43</f>
        <v>2.30106389570314</v>
      </c>
    </row>
    <row r="49" customFormat="false" ht="15" hidden="false" customHeight="true" outlineLevel="0" collapsed="false">
      <c r="A49" s="1" t="s">
        <v>1464</v>
      </c>
      <c r="B49" s="140" t="n">
        <f aca="false">COUNTIFS(G6:G37,"Sí",J6:J37,"&gt;0")</f>
        <v>15</v>
      </c>
    </row>
    <row r="50" customFormat="false" ht="15" hidden="false" customHeight="true" outlineLevel="0" collapsed="false">
      <c r="A50" s="1" t="s">
        <v>1465</v>
      </c>
      <c r="B50" s="140" t="n">
        <f aca="false">COUNTIFS(G6:G37,"Sí",N6:N37,"Sí")</f>
        <v>0</v>
      </c>
      <c r="C50" s="73" t="s">
        <v>1466</v>
      </c>
    </row>
    <row r="51" customFormat="false" ht="15" hidden="false" customHeight="true" outlineLevel="0" collapsed="false">
      <c r="A51" s="1" t="s">
        <v>1467</v>
      </c>
      <c r="B51" s="94" t="str">
        <f aca="false">IF(B50=0,"Rellenar col. N",B43/B50)</f>
        <v>Rellenar col. N</v>
      </c>
    </row>
    <row r="53" customFormat="false" ht="15" hidden="false" customHeight="true" outlineLevel="0" collapsed="false">
      <c r="A53" s="70" t="s">
        <v>1468</v>
      </c>
    </row>
    <row r="54" customFormat="false" ht="15" hidden="false" customHeight="true" outlineLevel="0" collapsed="false">
      <c r="A54" s="75" t="s">
        <v>1469</v>
      </c>
    </row>
    <row r="55" customFormat="false" ht="15" hidden="false" customHeight="true" outlineLevel="0" collapsed="false">
      <c r="A55" s="75" t="s">
        <v>1470</v>
      </c>
    </row>
    <row r="56" customFormat="false" ht="15" hidden="false" customHeight="true" outlineLevel="0" collapsed="false">
      <c r="A56" s="75" t="s">
        <v>1471</v>
      </c>
    </row>
    <row r="57" customFormat="false" ht="15" hidden="false" customHeight="true" outlineLevel="0" collapsed="false">
      <c r="A57" s="75" t="s">
        <v>1472</v>
      </c>
    </row>
    <row r="58" customFormat="false" ht="15" hidden="false" customHeight="true" outlineLevel="0" collapsed="false">
      <c r="A58" s="75" t="s">
        <v>1473</v>
      </c>
    </row>
    <row r="59" customFormat="false" ht="15" hidden="false" customHeight="true" outlineLevel="0" collapsed="false">
      <c r="A59" s="75" t="s">
        <v>1474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2" min="2" style="1" width="80"/>
    <col collapsed="false" customWidth="true" hidden="false" outlineLevel="0" max="3" min="3" style="1" width="12"/>
  </cols>
  <sheetData>
    <row r="1" customFormat="false" ht="17.25" hidden="false" customHeight="true" outlineLevel="0" collapsed="false">
      <c r="A1" s="2" t="s">
        <v>1475</v>
      </c>
    </row>
    <row r="2" customFormat="false" ht="15" hidden="false" customHeight="true" outlineLevel="0" collapsed="false">
      <c r="A2" s="3" t="s">
        <v>1476</v>
      </c>
    </row>
    <row r="3" customFormat="false" ht="15" hidden="false" customHeight="true" outlineLevel="0" collapsed="false">
      <c r="A3" s="22" t="s">
        <v>1477</v>
      </c>
      <c r="B3" s="22" t="s">
        <v>1478</v>
      </c>
      <c r="C3" s="22" t="s">
        <v>83</v>
      </c>
    </row>
    <row r="4" customFormat="false" ht="15" hidden="false" customHeight="true" outlineLevel="0" collapsed="false">
      <c r="A4" s="111" t="s">
        <v>96</v>
      </c>
      <c r="B4" s="111" t="s">
        <v>1479</v>
      </c>
      <c r="C4" s="111" t="s">
        <v>1480</v>
      </c>
    </row>
    <row r="5" customFormat="false" ht="15" hidden="false" customHeight="true" outlineLevel="0" collapsed="false">
      <c r="A5" s="111" t="s">
        <v>1481</v>
      </c>
      <c r="B5" s="111" t="s">
        <v>1482</v>
      </c>
      <c r="C5" s="111" t="s">
        <v>1480</v>
      </c>
    </row>
    <row r="6" customFormat="false" ht="15" hidden="false" customHeight="true" outlineLevel="0" collapsed="false">
      <c r="A6" s="111" t="s">
        <v>1483</v>
      </c>
      <c r="B6" s="111" t="s">
        <v>1484</v>
      </c>
      <c r="C6" s="111" t="s">
        <v>1485</v>
      </c>
    </row>
    <row r="7" customFormat="false" ht="15" hidden="false" customHeight="true" outlineLevel="0" collapsed="false">
      <c r="A7" s="111" t="s">
        <v>1486</v>
      </c>
      <c r="B7" s="111" t="s">
        <v>1487</v>
      </c>
      <c r="C7" s="111" t="s">
        <v>1488</v>
      </c>
    </row>
    <row r="8" customFormat="false" ht="15" hidden="false" customHeight="true" outlineLevel="0" collapsed="false">
      <c r="A8" s="111" t="s">
        <v>1489</v>
      </c>
      <c r="B8" s="111" t="s">
        <v>1490</v>
      </c>
      <c r="C8" s="111" t="s">
        <v>1480</v>
      </c>
    </row>
    <row r="9" customFormat="false" ht="15" hidden="false" customHeight="true" outlineLevel="0" collapsed="false">
      <c r="A9" s="111" t="s">
        <v>101</v>
      </c>
      <c r="B9" s="111" t="s">
        <v>1491</v>
      </c>
      <c r="C9" s="111" t="s">
        <v>1480</v>
      </c>
    </row>
    <row r="10" customFormat="false" ht="15" hidden="false" customHeight="true" outlineLevel="0" collapsed="false">
      <c r="A10" s="111" t="s">
        <v>1492</v>
      </c>
      <c r="B10" s="111" t="s">
        <v>1493</v>
      </c>
      <c r="C10" s="111" t="s">
        <v>1480</v>
      </c>
    </row>
    <row r="11" customFormat="false" ht="15" hidden="false" customHeight="true" outlineLevel="0" collapsed="false">
      <c r="A11" s="111" t="s">
        <v>89</v>
      </c>
      <c r="B11" s="111" t="s">
        <v>1494</v>
      </c>
      <c r="C11" s="111" t="s">
        <v>1480</v>
      </c>
    </row>
    <row r="12" customFormat="false" ht="15" hidden="false" customHeight="true" outlineLevel="0" collapsed="false">
      <c r="A12" s="111" t="s">
        <v>1495</v>
      </c>
      <c r="B12" s="111" t="s">
        <v>1496</v>
      </c>
      <c r="C12" s="111" t="s">
        <v>1480</v>
      </c>
    </row>
    <row r="13" customFormat="false" ht="15" hidden="false" customHeight="true" outlineLevel="0" collapsed="false">
      <c r="A13" s="111" t="s">
        <v>1497</v>
      </c>
      <c r="B13" s="111" t="s">
        <v>1498</v>
      </c>
      <c r="C13" s="111" t="s">
        <v>1480</v>
      </c>
    </row>
    <row r="14" customFormat="false" ht="15" hidden="false" customHeight="true" outlineLevel="0" collapsed="false">
      <c r="A14" s="111" t="s">
        <v>1499</v>
      </c>
      <c r="B14" s="111" t="s">
        <v>1500</v>
      </c>
      <c r="C14" s="111" t="s">
        <v>1501</v>
      </c>
    </row>
    <row r="15" customFormat="false" ht="15" hidden="false" customHeight="true" outlineLevel="0" collapsed="false">
      <c r="A15" s="111" t="s">
        <v>1502</v>
      </c>
      <c r="B15" s="111" t="s">
        <v>1503</v>
      </c>
      <c r="C15" s="111" t="s">
        <v>1480</v>
      </c>
    </row>
    <row r="16" customFormat="false" ht="23.25" hidden="false" customHeight="true" outlineLevel="0" collapsed="false">
      <c r="A16" s="111" t="s">
        <v>1504</v>
      </c>
      <c r="B16" s="111" t="s">
        <v>1505</v>
      </c>
      <c r="C16" s="111" t="s">
        <v>1506</v>
      </c>
    </row>
    <row r="17" customFormat="false" ht="15" hidden="false" customHeight="true" outlineLevel="0" collapsed="false">
      <c r="A17" s="111" t="s">
        <v>1507</v>
      </c>
      <c r="B17" s="111" t="s">
        <v>1508</v>
      </c>
      <c r="C17" s="111" t="s">
        <v>1480</v>
      </c>
    </row>
    <row r="18" customFormat="false" ht="15" hidden="false" customHeight="true" outlineLevel="0" collapsed="false">
      <c r="A18" s="111" t="s">
        <v>1509</v>
      </c>
      <c r="B18" s="111" t="s">
        <v>1510</v>
      </c>
      <c r="C18" s="111" t="s">
        <v>1480</v>
      </c>
    </row>
    <row r="19" customFormat="false" ht="23.25" hidden="false" customHeight="true" outlineLevel="0" collapsed="false">
      <c r="A19" s="111" t="s">
        <v>1511</v>
      </c>
      <c r="B19" s="111" t="s">
        <v>1512</v>
      </c>
      <c r="C19" s="111" t="s">
        <v>1513</v>
      </c>
    </row>
    <row r="20" customFormat="false" ht="15" hidden="false" customHeight="true" outlineLevel="0" collapsed="false">
      <c r="A20" s="111" t="s">
        <v>1514</v>
      </c>
      <c r="B20" s="111" t="s">
        <v>1515</v>
      </c>
      <c r="C20" s="111" t="s">
        <v>1480</v>
      </c>
    </row>
    <row r="21" customFormat="false" ht="15" hidden="false" customHeight="true" outlineLevel="0" collapsed="false">
      <c r="A21" s="111" t="s">
        <v>1516</v>
      </c>
      <c r="B21" s="111" t="s">
        <v>1517</v>
      </c>
      <c r="C21" s="111" t="s">
        <v>1518</v>
      </c>
    </row>
    <row r="22" customFormat="false" ht="15" hidden="false" customHeight="true" outlineLevel="0" collapsed="false">
      <c r="A22" s="111" t="s">
        <v>1519</v>
      </c>
      <c r="B22" s="111" t="s">
        <v>1520</v>
      </c>
      <c r="C22" s="111" t="s">
        <v>1480</v>
      </c>
    </row>
    <row r="23" customFormat="false" ht="15" hidden="false" customHeight="true" outlineLevel="0" collapsed="false">
      <c r="A23" s="111" t="s">
        <v>1521</v>
      </c>
      <c r="B23" s="111" t="s">
        <v>1522</v>
      </c>
      <c r="C23" s="111" t="s">
        <v>1480</v>
      </c>
    </row>
    <row r="24" customFormat="false" ht="15" hidden="false" customHeight="true" outlineLevel="0" collapsed="false">
      <c r="A24" s="111" t="s">
        <v>1523</v>
      </c>
      <c r="B24" s="111" t="s">
        <v>1524</v>
      </c>
      <c r="C24" s="111" t="s">
        <v>1518</v>
      </c>
    </row>
    <row r="25" customFormat="false" ht="15" hidden="false" customHeight="true" outlineLevel="0" collapsed="false">
      <c r="A25" s="111" t="s">
        <v>1525</v>
      </c>
      <c r="B25" s="111" t="s">
        <v>1526</v>
      </c>
      <c r="C25" s="111" t="s">
        <v>1480</v>
      </c>
    </row>
    <row r="26" customFormat="false" ht="15" hidden="false" customHeight="true" outlineLevel="0" collapsed="false">
      <c r="A26" s="111" t="s">
        <v>1527</v>
      </c>
      <c r="B26" s="111" t="s">
        <v>1528</v>
      </c>
      <c r="C26" s="111" t="s">
        <v>1480</v>
      </c>
    </row>
    <row r="27" customFormat="false" ht="23.25" hidden="false" customHeight="true" outlineLevel="0" collapsed="false">
      <c r="A27" s="111" t="s">
        <v>1529</v>
      </c>
      <c r="B27" s="111" t="s">
        <v>1530</v>
      </c>
      <c r="C27" s="111" t="s">
        <v>1518</v>
      </c>
    </row>
    <row r="28" customFormat="false" ht="15" hidden="false" customHeight="true" outlineLevel="0" collapsed="false">
      <c r="A28" s="111" t="s">
        <v>1531</v>
      </c>
      <c r="B28" s="111" t="s">
        <v>1532</v>
      </c>
      <c r="C28" s="111" t="s">
        <v>1518</v>
      </c>
    </row>
    <row r="29" customFormat="false" ht="15" hidden="false" customHeight="true" outlineLevel="0" collapsed="false">
      <c r="A29" s="111" t="s">
        <v>1533</v>
      </c>
      <c r="B29" s="111" t="s">
        <v>1534</v>
      </c>
      <c r="C29" s="111" t="s">
        <v>1518</v>
      </c>
    </row>
    <row r="30" customFormat="false" ht="23.25" hidden="false" customHeight="true" outlineLevel="0" collapsed="false">
      <c r="A30" s="111" t="s">
        <v>1535</v>
      </c>
      <c r="B30" s="111" t="s">
        <v>1536</v>
      </c>
      <c r="C30" s="111" t="s">
        <v>1480</v>
      </c>
    </row>
    <row r="31" customFormat="false" ht="15" hidden="false" customHeight="true" outlineLevel="0" collapsed="false">
      <c r="A31" s="111" t="s">
        <v>1537</v>
      </c>
      <c r="B31" s="111" t="s">
        <v>1494</v>
      </c>
      <c r="C31" s="111" t="s">
        <v>1480</v>
      </c>
    </row>
    <row r="32" customFormat="false" ht="23.25" hidden="false" customHeight="true" outlineLevel="0" collapsed="false">
      <c r="A32" s="111" t="s">
        <v>1538</v>
      </c>
      <c r="B32" s="111" t="s">
        <v>1539</v>
      </c>
      <c r="C32" s="111" t="s">
        <v>1480</v>
      </c>
    </row>
    <row r="33" customFormat="false" ht="15" hidden="false" customHeight="true" outlineLevel="0" collapsed="false">
      <c r="A33" s="111" t="s">
        <v>1540</v>
      </c>
      <c r="B33" s="111" t="s">
        <v>1541</v>
      </c>
      <c r="C33" s="111" t="s">
        <v>1480</v>
      </c>
    </row>
    <row r="34" customFormat="false" ht="15" hidden="false" customHeight="true" outlineLevel="0" collapsed="false">
      <c r="A34" s="111" t="s">
        <v>1542</v>
      </c>
      <c r="B34" s="111" t="s">
        <v>1543</v>
      </c>
      <c r="C34" s="111" t="s">
        <v>1518</v>
      </c>
    </row>
    <row r="35" customFormat="false" ht="15" hidden="false" customHeight="true" outlineLevel="0" collapsed="false">
      <c r="A35" s="12" t="s">
        <v>1544</v>
      </c>
      <c r="B35" s="12" t="s">
        <v>1545</v>
      </c>
      <c r="C35" s="12" t="s">
        <v>1480</v>
      </c>
    </row>
    <row r="37" customFormat="false" ht="15" hidden="false" customHeight="false" outlineLevel="0" collapsed="false">
      <c r="A37" s="145" t="s">
        <v>1546</v>
      </c>
    </row>
    <row r="38" customFormat="false" ht="15" hidden="false" customHeight="false" outlineLevel="0" collapsed="false">
      <c r="A38" s="1" t="s">
        <v>1547</v>
      </c>
    </row>
    <row r="39" customFormat="false" ht="15" hidden="false" customHeight="false" outlineLevel="0" collapsed="false">
      <c r="A39" s="1" t="s">
        <v>1548</v>
      </c>
    </row>
    <row r="40" customFormat="false" ht="15" hidden="false" customHeight="false" outlineLevel="0" collapsed="false">
      <c r="A40" s="1" t="s">
        <v>1549</v>
      </c>
    </row>
    <row r="41" customFormat="false" ht="15" hidden="false" customHeight="false" outlineLevel="0" collapsed="false">
      <c r="A41" s="1" t="s">
        <v>1550</v>
      </c>
    </row>
    <row r="42" customFormat="false" ht="15" hidden="false" customHeight="false" outlineLevel="0" collapsed="false">
      <c r="A42" s="1" t="s">
        <v>1551</v>
      </c>
    </row>
    <row r="43" customFormat="false" ht="15" hidden="false" customHeight="false" outlineLevel="0" collapsed="false">
      <c r="A43" s="1" t="s">
        <v>1552</v>
      </c>
    </row>
    <row r="44" customFormat="false" ht="15" hidden="false" customHeight="false" outlineLevel="0" collapsed="false">
      <c r="A44" s="1" t="s">
        <v>1553</v>
      </c>
    </row>
    <row r="45" customFormat="false" ht="15" hidden="false" customHeight="false" outlineLevel="0" collapsed="false">
      <c r="A45" s="1" t="s">
        <v>1554</v>
      </c>
    </row>
    <row r="46" customFormat="false" ht="15" hidden="false" customHeight="false" outlineLevel="0" collapsed="false">
      <c r="A46" s="1" t="s">
        <v>1555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2026-10-10T18:45:32Z</dcterms:created>
  <dc:creator>openpyxl</dc:creator>
  <dc:description/>
  <dc:language>en-US</dc:language>
  <cp:lastModifiedBy/>
  <dcterms:modified xsi:type="dcterms:W3CDTF">2026-10-13T22:17:32Z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